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activeTab="0"/>
  </bookViews>
  <sheets>
    <sheet name="UNIDADES" sheetId="1" r:id="rId1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'UNIDADES'!$A$1:$X$93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</definedNames>
  <calcPr fullCalcOnLoad="1"/>
</workbook>
</file>

<file path=xl/sharedStrings.xml><?xml version="1.0" encoding="utf-8"?>
<sst xmlns="http://schemas.openxmlformats.org/spreadsheetml/2006/main" count="110" uniqueCount="77">
  <si>
    <t>MEDICAMENTOS EXCEPCIONAIS</t>
  </si>
  <si>
    <t>PROGR. INTERIORIZAÇÃO DO TRABALHO EM SAÚDE</t>
  </si>
  <si>
    <t>PROGR. AGENTES COMUNIT. SAÚDE - PACS/PSF</t>
  </si>
  <si>
    <t>HOSPITAIS PRÓPRIOS - MANUTENÇÃO</t>
  </si>
  <si>
    <t>ITENS GLOBAIS</t>
  </si>
  <si>
    <t>PESSOAL ATIVO</t>
  </si>
  <si>
    <t>PESSOAL INATIVO E PENSIONISTA</t>
  </si>
  <si>
    <t xml:space="preserve">AMORTIZAÇÃO DA DÍVIDA        </t>
  </si>
  <si>
    <t>FNS</t>
  </si>
  <si>
    <t>EXECUTADO 2003</t>
  </si>
  <si>
    <t xml:space="preserve">DOTAÇÃO </t>
  </si>
  <si>
    <t>APROVADA 2003</t>
  </si>
  <si>
    <t>JANEIRO</t>
  </si>
  <si>
    <t>FEVEREIRO</t>
  </si>
  <si>
    <t>MARÇO</t>
  </si>
  <si>
    <t>LEI + CRÉDITO</t>
  </si>
  <si>
    <t>EXECUTADO 2002</t>
  </si>
  <si>
    <t>COMPARATIVO DA EXECUÇÃO ORÇAMENTÁRIA 2002/2003</t>
  </si>
  <si>
    <t>TOTAL 2002</t>
  </si>
  <si>
    <t>GHC</t>
  </si>
  <si>
    <t>Coordenação de Acompanhamento e Avaliação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</si>
  <si>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</si>
  <si>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</si>
  <si>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</si>
  <si>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</si>
  <si>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</si>
  <si>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PIONEIRAS SOCIAIS</t>
  </si>
  <si>
    <t>COMUNICAÇÃO SOCIAL</t>
  </si>
  <si>
    <t>DENOMINAÇÃO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</si>
  <si>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</si>
  <si>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</si>
  <si>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</si>
  <si>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</si>
  <si>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</si>
  <si>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</si>
  <si>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</si>
  <si>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</si>
  <si>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</si>
  <si>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</si>
  <si>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</si>
  <si>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</si>
  <si>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SERV. DE PROCESSAMENTO DADOS - DATASUS</t>
  </si>
  <si>
    <t>PROGRAMA SANGUE E HEMODERIVADOS</t>
  </si>
  <si>
    <t>INCENTIVO PARA CONTROLE DE ENDEMIAS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</si>
  <si>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</si>
  <si>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</si>
  <si>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</si>
  <si>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</si>
  <si>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</si>
  <si>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</si>
  <si>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</si>
  <si>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</si>
  <si>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</si>
  <si>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</si>
  <si>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>MS - TOTAL GERAL</t>
  </si>
  <si>
    <t>CONTROLE DE ENDEMIAS / ERRADIC. DO AEDES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</si>
  <si>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</si>
  <si>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</si>
  <si>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</si>
  <si>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</si>
  <si>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</si>
  <si>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</si>
  <si>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</si>
  <si>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</si>
  <si>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</si>
  <si>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</si>
  <si>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</si>
  <si>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</si>
  <si>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</si>
  <si>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</si>
  <si>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t>MINISTÉRIO DA SAÚDE</t>
  </si>
  <si>
    <t>Subsecretaria de Planejamento e Orçamento</t>
  </si>
  <si>
    <t>Coordenação-Geral de Orçamento e Finanças</t>
  </si>
  <si>
    <t>%</t>
  </si>
  <si>
    <t>TOTAL 2003</t>
  </si>
  <si>
    <t>(LIQUIDADO)</t>
  </si>
  <si>
    <t>ABRIL</t>
  </si>
</sst>
</file>

<file path=xl/styles.xml><?xml version="1.0" encoding="utf-8"?>
<styleSheet xmlns="http://schemas.openxmlformats.org/spreadsheetml/2006/main">
  <numFmts count="6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#,##0.000000"/>
    <numFmt numFmtId="216" formatCode="#,##0.0000"/>
    <numFmt numFmtId="217" formatCode="#,##0.00000"/>
    <numFmt numFmtId="218" formatCode="#,##0.0000000"/>
    <numFmt numFmtId="219" formatCode="#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28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0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4"/>
      <name val="MS Sans Serif"/>
      <family val="2"/>
    </font>
    <font>
      <b/>
      <sz val="48"/>
      <name val="Arial"/>
      <family val="2"/>
    </font>
    <font>
      <b/>
      <sz val="7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9"/>
        <bgColor indexed="42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0" xfId="19">
      <alignment/>
      <protection/>
    </xf>
    <xf numFmtId="38" fontId="9" fillId="0" borderId="0" xfId="23" applyNumberFormat="1" applyFont="1" applyAlignment="1">
      <alignment/>
    </xf>
    <xf numFmtId="0" fontId="11" fillId="0" borderId="0" xfId="19" applyFont="1">
      <alignment/>
      <protection/>
    </xf>
    <xf numFmtId="0" fontId="4" fillId="0" borderId="0" xfId="19" applyFont="1">
      <alignment/>
      <protection/>
    </xf>
    <xf numFmtId="0" fontId="15" fillId="0" borderId="0" xfId="19" applyFont="1" applyAlignment="1">
      <alignment/>
      <protection/>
    </xf>
    <xf numFmtId="0" fontId="14" fillId="0" borderId="0" xfId="19" applyFont="1" applyAlignment="1">
      <alignment/>
      <protection/>
    </xf>
    <xf numFmtId="38" fontId="10" fillId="0" borderId="0" xfId="23" applyNumberFormat="1" applyFont="1" applyAlignment="1">
      <alignment/>
    </xf>
    <xf numFmtId="0" fontId="16" fillId="0" borderId="0" xfId="19" applyFont="1" applyAlignment="1">
      <alignment/>
      <protection/>
    </xf>
    <xf numFmtId="0" fontId="17" fillId="0" borderId="0" xfId="19" applyFont="1" applyAlignment="1">
      <alignment/>
      <protection/>
    </xf>
    <xf numFmtId="0" fontId="4" fillId="0" borderId="0" xfId="19" applyFont="1" applyAlignment="1">
      <alignment/>
      <protection/>
    </xf>
    <xf numFmtId="3" fontId="18" fillId="0" borderId="0" xfId="19" applyNumberFormat="1" applyFont="1" applyAlignment="1">
      <alignment/>
      <protection/>
    </xf>
    <xf numFmtId="0" fontId="14" fillId="0" borderId="0" xfId="19" applyFont="1" applyAlignment="1">
      <alignment/>
      <protection/>
    </xf>
    <xf numFmtId="3" fontId="19" fillId="0" borderId="0" xfId="19" applyNumberFormat="1" applyFont="1" applyAlignment="1">
      <alignment/>
      <protection/>
    </xf>
    <xf numFmtId="3" fontId="20" fillId="0" borderId="0" xfId="19" applyNumberFormat="1" applyFont="1" applyAlignment="1">
      <alignment/>
      <protection/>
    </xf>
    <xf numFmtId="0" fontId="21" fillId="2" borderId="1" xfId="19" applyFont="1" applyFill="1" applyBorder="1" applyAlignment="1">
      <alignment horizontal="center"/>
      <protection/>
    </xf>
    <xf numFmtId="0" fontId="5" fillId="2" borderId="2" xfId="19" applyFont="1" applyFill="1" applyBorder="1" applyAlignment="1">
      <alignment horizontal="center" vertical="center"/>
      <protection/>
    </xf>
    <xf numFmtId="0" fontId="5" fillId="2" borderId="3" xfId="19" applyFont="1" applyFill="1" applyBorder="1" applyAlignment="1">
      <alignment horizontal="center" vertical="center"/>
      <protection/>
    </xf>
    <xf numFmtId="0" fontId="22" fillId="2" borderId="4" xfId="19" applyFont="1" applyFill="1" applyBorder="1" applyAlignment="1">
      <alignment horizontal="center"/>
      <protection/>
    </xf>
    <xf numFmtId="0" fontId="5" fillId="2" borderId="5" xfId="19" applyFont="1" applyFill="1" applyBorder="1" applyAlignment="1">
      <alignment horizontal="center" vertical="center"/>
      <protection/>
    </xf>
    <xf numFmtId="0" fontId="5" fillId="2" borderId="6" xfId="19" applyFont="1" applyFill="1" applyBorder="1" applyAlignment="1">
      <alignment horizontal="center" vertical="center"/>
      <protection/>
    </xf>
    <xf numFmtId="0" fontId="4" fillId="2" borderId="7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23" fillId="2" borderId="0" xfId="19" applyFont="1" applyFill="1">
      <alignment/>
      <protection/>
    </xf>
    <xf numFmtId="0" fontId="4" fillId="2" borderId="0" xfId="19" applyFont="1" applyFill="1">
      <alignment/>
      <protection/>
    </xf>
    <xf numFmtId="4" fontId="4" fillId="0" borderId="0" xfId="19" applyNumberFormat="1">
      <alignment/>
      <protection/>
    </xf>
    <xf numFmtId="38" fontId="8" fillId="0" borderId="0" xfId="23" applyNumberFormat="1" applyFont="1" applyAlignment="1">
      <alignment/>
    </xf>
    <xf numFmtId="38" fontId="25" fillId="0" borderId="0" xfId="23" applyNumberFormat="1" applyFont="1" applyBorder="1" applyAlignment="1">
      <alignment horizontal="center"/>
    </xf>
    <xf numFmtId="38" fontId="26" fillId="0" borderId="0" xfId="23" applyNumberFormat="1" applyFont="1" applyBorder="1" applyAlignment="1">
      <alignment/>
    </xf>
    <xf numFmtId="4" fontId="4" fillId="0" borderId="0" xfId="19" applyNumberFormat="1" applyAlignment="1">
      <alignment vertical="center"/>
      <protection/>
    </xf>
    <xf numFmtId="0" fontId="24" fillId="0" borderId="0" xfId="19" applyFont="1">
      <alignment/>
      <protection/>
    </xf>
    <xf numFmtId="0" fontId="3" fillId="0" borderId="0" xfId="19" applyFont="1">
      <alignment/>
      <protection/>
    </xf>
    <xf numFmtId="3" fontId="4" fillId="0" borderId="0" xfId="19" applyNumberFormat="1" applyFont="1">
      <alignment/>
      <protection/>
    </xf>
    <xf numFmtId="3" fontId="10" fillId="0" borderId="0" xfId="19" applyNumberFormat="1" applyFont="1">
      <alignment/>
      <protection/>
    </xf>
    <xf numFmtId="3" fontId="28" fillId="0" borderId="0" xfId="19" applyNumberFormat="1" applyFont="1">
      <alignment/>
      <protection/>
    </xf>
    <xf numFmtId="2" fontId="4" fillId="0" borderId="0" xfId="19" applyNumberFormat="1" applyFont="1">
      <alignment/>
      <protection/>
    </xf>
    <xf numFmtId="0" fontId="10" fillId="0" borderId="0" xfId="19" applyFont="1">
      <alignment/>
      <protection/>
    </xf>
    <xf numFmtId="0" fontId="27" fillId="0" borderId="0" xfId="0" applyFont="1" applyAlignment="1">
      <alignment/>
    </xf>
    <xf numFmtId="0" fontId="29" fillId="0" borderId="0" xfId="19" applyFont="1" applyAlignment="1">
      <alignment/>
      <protection/>
    </xf>
    <xf numFmtId="0" fontId="4" fillId="0" borderId="0" xfId="19" applyAlignment="1">
      <alignment horizontal="left"/>
      <protection/>
    </xf>
    <xf numFmtId="0" fontId="13" fillId="0" borderId="0" xfId="19" applyFont="1" applyAlignment="1">
      <alignment horizontal="left"/>
      <protection/>
    </xf>
    <xf numFmtId="0" fontId="14" fillId="0" borderId="0" xfId="19" applyFont="1" applyAlignment="1">
      <alignment horizontal="left"/>
      <protection/>
    </xf>
    <xf numFmtId="38" fontId="9" fillId="0" borderId="0" xfId="23" applyNumberFormat="1" applyFont="1" applyAlignment="1">
      <alignment horizontal="left"/>
    </xf>
    <xf numFmtId="3" fontId="30" fillId="0" borderId="0" xfId="19" applyNumberFormat="1" applyFont="1">
      <alignment/>
      <protection/>
    </xf>
    <xf numFmtId="0" fontId="5" fillId="2" borderId="8" xfId="19" applyFont="1" applyFill="1" applyBorder="1" applyAlignment="1">
      <alignment horizontal="center" vertical="center"/>
      <protection/>
    </xf>
    <xf numFmtId="0" fontId="5" fillId="2" borderId="9" xfId="19" applyFont="1" applyFill="1" applyBorder="1" applyAlignment="1">
      <alignment horizontal="center" vertical="center"/>
      <protection/>
    </xf>
    <xf numFmtId="0" fontId="5" fillId="2" borderId="10" xfId="19" applyFont="1" applyFill="1" applyBorder="1" applyAlignment="1">
      <alignment horizontal="center" vertical="center"/>
      <protection/>
    </xf>
    <xf numFmtId="2" fontId="10" fillId="0" borderId="0" xfId="19" applyNumberFormat="1" applyFont="1">
      <alignment/>
      <protection/>
    </xf>
    <xf numFmtId="4" fontId="10" fillId="0" borderId="0" xfId="19" applyNumberFormat="1" applyFont="1">
      <alignment/>
      <protection/>
    </xf>
    <xf numFmtId="40" fontId="10" fillId="0" borderId="0" xfId="19" applyNumberFormat="1" applyFont="1">
      <alignment/>
      <protection/>
    </xf>
    <xf numFmtId="0" fontId="5" fillId="2" borderId="11" xfId="19" applyFont="1" applyFill="1" applyBorder="1" applyAlignment="1">
      <alignment horizontal="center" vertical="center"/>
      <protection/>
    </xf>
    <xf numFmtId="9" fontId="5" fillId="2" borderId="9" xfId="19" applyNumberFormat="1" applyFont="1" applyFill="1" applyBorder="1" applyAlignment="1">
      <alignment horizontal="center" vertical="center"/>
      <protection/>
    </xf>
    <xf numFmtId="0" fontId="12" fillId="3" borderId="12" xfId="19" applyFont="1" applyFill="1" applyBorder="1" applyAlignment="1">
      <alignment/>
      <protection/>
    </xf>
    <xf numFmtId="3" fontId="12" fillId="0" borderId="12" xfId="19" applyNumberFormat="1" applyFont="1" applyBorder="1">
      <alignment/>
      <protection/>
    </xf>
    <xf numFmtId="3" fontId="31" fillId="0" borderId="12" xfId="19" applyNumberFormat="1" applyFont="1" applyBorder="1">
      <alignment/>
      <protection/>
    </xf>
    <xf numFmtId="3" fontId="31" fillId="2" borderId="12" xfId="19" applyNumberFormat="1" applyFont="1" applyFill="1" applyBorder="1">
      <alignment/>
      <protection/>
    </xf>
    <xf numFmtId="3" fontId="31" fillId="0" borderId="13" xfId="19" applyNumberFormat="1" applyFont="1" applyBorder="1">
      <alignment/>
      <protection/>
    </xf>
    <xf numFmtId="3" fontId="12" fillId="3" borderId="12" xfId="19" applyNumberFormat="1" applyFont="1" applyFill="1" applyBorder="1">
      <alignment/>
      <protection/>
    </xf>
    <xf numFmtId="4" fontId="12" fillId="3" borderId="12" xfId="19" applyNumberFormat="1" applyFont="1" applyFill="1" applyBorder="1" applyAlignment="1">
      <alignment horizontal="center"/>
      <protection/>
    </xf>
    <xf numFmtId="40" fontId="12" fillId="3" borderId="12" xfId="19" applyNumberFormat="1" applyFont="1" applyFill="1" applyBorder="1">
      <alignment/>
      <protection/>
    </xf>
    <xf numFmtId="38" fontId="12" fillId="3" borderId="12" xfId="19" applyNumberFormat="1" applyFont="1" applyFill="1" applyBorder="1">
      <alignment/>
      <protection/>
    </xf>
    <xf numFmtId="4" fontId="12" fillId="0" borderId="12" xfId="19" applyNumberFormat="1" applyFont="1" applyBorder="1">
      <alignment/>
      <protection/>
    </xf>
    <xf numFmtId="38" fontId="12" fillId="0" borderId="12" xfId="19" applyNumberFormat="1" applyFont="1" applyBorder="1">
      <alignment/>
      <protection/>
    </xf>
    <xf numFmtId="4" fontId="12" fillId="3" borderId="12" xfId="19" applyNumberFormat="1" applyFont="1" applyFill="1" applyBorder="1">
      <alignment/>
      <protection/>
    </xf>
    <xf numFmtId="3" fontId="12" fillId="3" borderId="9" xfId="19" applyNumberFormat="1" applyFont="1" applyFill="1" applyBorder="1" applyAlignment="1">
      <alignment vertical="center"/>
      <protection/>
    </xf>
    <xf numFmtId="4" fontId="12" fillId="3" borderId="9" xfId="19" applyNumberFormat="1" applyFont="1" applyFill="1" applyBorder="1" applyAlignment="1">
      <alignment vertical="center"/>
      <protection/>
    </xf>
    <xf numFmtId="40" fontId="12" fillId="3" borderId="9" xfId="19" applyNumberFormat="1" applyFont="1" applyFill="1" applyBorder="1" applyAlignment="1">
      <alignment vertical="center"/>
      <protection/>
    </xf>
    <xf numFmtId="0" fontId="12" fillId="3" borderId="14" xfId="19" applyFont="1" applyFill="1" applyBorder="1">
      <alignment/>
      <protection/>
    </xf>
    <xf numFmtId="0" fontId="31" fillId="0" borderId="14" xfId="19" applyFont="1" applyBorder="1">
      <alignment/>
      <protection/>
    </xf>
    <xf numFmtId="0" fontId="31" fillId="2" borderId="14" xfId="19" applyFont="1" applyFill="1" applyBorder="1">
      <alignment/>
      <protection/>
    </xf>
    <xf numFmtId="0" fontId="5" fillId="2" borderId="15" xfId="19" applyFont="1" applyFill="1" applyBorder="1" applyAlignment="1">
      <alignment horizontal="center" vertical="center"/>
      <protection/>
    </xf>
    <xf numFmtId="0" fontId="12" fillId="3" borderId="8" xfId="19" applyFont="1" applyFill="1" applyBorder="1" applyAlignment="1">
      <alignment horizontal="center"/>
      <protection/>
    </xf>
    <xf numFmtId="0" fontId="12" fillId="3" borderId="10" xfId="19" applyFont="1" applyFill="1" applyBorder="1" applyAlignment="1">
      <alignment horizontal="center"/>
      <protection/>
    </xf>
    <xf numFmtId="0" fontId="12" fillId="3" borderId="0" xfId="19" applyFont="1" applyFill="1" applyAlignment="1">
      <alignment horizontal="center"/>
      <protection/>
    </xf>
    <xf numFmtId="0" fontId="5" fillId="2" borderId="2" xfId="19" applyFont="1" applyFill="1" applyBorder="1" applyAlignment="1">
      <alignment horizontal="center" vertical="center"/>
      <protection/>
    </xf>
    <xf numFmtId="0" fontId="5" fillId="2" borderId="5" xfId="19" applyFont="1" applyFill="1" applyBorder="1" applyAlignment="1">
      <alignment horizontal="center" vertical="center"/>
      <protection/>
    </xf>
    <xf numFmtId="0" fontId="5" fillId="2" borderId="8" xfId="19" applyFont="1" applyFill="1" applyBorder="1" applyAlignment="1">
      <alignment horizontal="center" vertical="center"/>
      <protection/>
    </xf>
    <xf numFmtId="0" fontId="5" fillId="2" borderId="15" xfId="19" applyFont="1" applyFill="1" applyBorder="1" applyAlignment="1">
      <alignment horizontal="center" vertical="center"/>
      <protection/>
    </xf>
    <xf numFmtId="0" fontId="32" fillId="0" borderId="0" xfId="19" applyFont="1" applyAlignment="1">
      <alignment horizontal="center"/>
      <protection/>
    </xf>
    <xf numFmtId="0" fontId="0" fillId="0" borderId="0" xfId="0" applyAlignment="1">
      <alignment horizontal="center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9"/>
  <sheetViews>
    <sheetView tabSelected="1" zoomScale="25" zoomScaleNormal="25" workbookViewId="0" topLeftCell="A13">
      <pane xSplit="2" ySplit="3" topLeftCell="O82" activePane="bottomRight" state="frozen"/>
      <selection pane="topLeft" activeCell="A13" sqref="A13"/>
      <selection pane="topRight" activeCell="C13" sqref="C13"/>
      <selection pane="bottomLeft" activeCell="A16" sqref="A16"/>
      <selection pane="bottomRight" activeCell="O103" sqref="O103"/>
    </sheetView>
  </sheetViews>
  <sheetFormatPr defaultColWidth="9.140625" defaultRowHeight="12.75"/>
  <cols>
    <col min="1" max="1" width="24.28125" style="4" customWidth="1"/>
    <col min="2" max="2" width="255.7109375" style="4" bestFit="1" customWidth="1"/>
    <col min="3" max="3" width="75.00390625" style="4" bestFit="1" customWidth="1"/>
    <col min="4" max="4" width="66.7109375" style="4" customWidth="1"/>
    <col min="5" max="5" width="25.28125" style="4" customWidth="1"/>
    <col min="6" max="6" width="67.8515625" style="4" customWidth="1"/>
    <col min="7" max="7" width="29.28125" style="4" bestFit="1" customWidth="1"/>
    <col min="8" max="8" width="67.28125" style="4" customWidth="1"/>
    <col min="9" max="9" width="29.28125" style="4" bestFit="1" customWidth="1"/>
    <col min="10" max="10" width="63.28125" style="4" customWidth="1"/>
    <col min="11" max="11" width="33.00390625" style="4" customWidth="1"/>
    <col min="12" max="12" width="65.57421875" style="4" customWidth="1"/>
    <col min="13" max="13" width="30.421875" style="4" bestFit="1" customWidth="1"/>
    <col min="14" max="14" width="74.7109375" style="4" customWidth="1"/>
    <col min="15" max="15" width="70.140625" style="4" customWidth="1"/>
    <col min="16" max="16" width="32.140625" style="4" bestFit="1" customWidth="1"/>
    <col min="17" max="17" width="74.140625" style="4" customWidth="1"/>
    <col min="18" max="18" width="30.421875" style="4" bestFit="1" customWidth="1"/>
    <col min="19" max="19" width="66.57421875" style="4" customWidth="1"/>
    <col min="20" max="20" width="35.57421875" style="4" bestFit="1" customWidth="1"/>
    <col min="21" max="21" width="71.57421875" style="4" customWidth="1"/>
    <col min="22" max="22" width="32.140625" style="4" bestFit="1" customWidth="1"/>
    <col min="23" max="23" width="72.8515625" style="4" customWidth="1"/>
    <col min="24" max="24" width="32.140625" style="4" bestFit="1" customWidth="1"/>
    <col min="25" max="25" width="6.8515625" style="4" customWidth="1"/>
    <col min="26" max="28" width="6.28125" style="4" customWidth="1"/>
    <col min="29" max="29" width="55.00390625" style="5" customWidth="1"/>
    <col min="30" max="30" width="51.00390625" style="5" bestFit="1" customWidth="1"/>
    <col min="31" max="31" width="51.00390625" style="4" bestFit="1" customWidth="1"/>
    <col min="32" max="16384" width="11.421875" style="4" customWidth="1"/>
  </cols>
  <sheetData>
    <row r="1" spans="1:13" ht="45" customHeight="1">
      <c r="A1" s="1" t="s">
        <v>70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" customHeight="1">
      <c r="A2" s="1" t="s">
        <v>71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1" t="s">
        <v>72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5" customHeight="1">
      <c r="A4" s="1" t="s">
        <v>20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8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24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4" ht="60" customHeight="1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31" ht="24.7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2"/>
      <c r="Z8" s="42"/>
      <c r="AA8" s="42"/>
      <c r="AB8" s="42"/>
      <c r="AC8" s="45"/>
      <c r="AD8" s="45"/>
      <c r="AE8" s="42"/>
    </row>
    <row r="9" spans="1:24" ht="99.75" customHeight="1">
      <c r="A9" s="81" t="s">
        <v>75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6" customHeight="1">
      <c r="A10" s="7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6.5" customHeight="1">
      <c r="A11" s="7"/>
      <c r="B11" s="4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</row>
    <row r="12" spans="1:24" ht="54.75" customHeight="1" thickBot="1">
      <c r="A12" s="7"/>
      <c r="B12" s="4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6"/>
      <c r="Q12" s="17"/>
      <c r="R12" s="17"/>
      <c r="S12" s="17"/>
      <c r="T12" s="17"/>
      <c r="U12" s="17"/>
      <c r="V12" s="17"/>
      <c r="W12" s="17"/>
      <c r="X12" s="17"/>
    </row>
    <row r="13" spans="1:24" ht="60" customHeight="1" thickBot="1">
      <c r="A13" s="18"/>
      <c r="B13" s="77" t="s">
        <v>28</v>
      </c>
      <c r="C13" s="19" t="s">
        <v>15</v>
      </c>
      <c r="D13" s="79" t="s">
        <v>16</v>
      </c>
      <c r="E13" s="80"/>
      <c r="F13" s="80"/>
      <c r="G13" s="80"/>
      <c r="H13" s="80"/>
      <c r="I13" s="80"/>
      <c r="J13" s="80"/>
      <c r="K13" s="73"/>
      <c r="L13" s="73"/>
      <c r="M13" s="54" t="s">
        <v>73</v>
      </c>
      <c r="N13" s="20" t="s">
        <v>10</v>
      </c>
      <c r="O13" s="79" t="s">
        <v>9</v>
      </c>
      <c r="P13" s="80"/>
      <c r="Q13" s="80"/>
      <c r="R13" s="80"/>
      <c r="S13" s="80"/>
      <c r="T13" s="80"/>
      <c r="U13" s="80"/>
      <c r="V13" s="80"/>
      <c r="W13" s="80"/>
      <c r="X13" s="54" t="s">
        <v>73</v>
      </c>
    </row>
    <row r="14" spans="1:24" ht="60" customHeight="1" thickBot="1">
      <c r="A14" s="21"/>
      <c r="B14" s="78"/>
      <c r="C14" s="22">
        <v>2002</v>
      </c>
      <c r="D14" s="48" t="s">
        <v>12</v>
      </c>
      <c r="E14" s="49" t="s">
        <v>73</v>
      </c>
      <c r="F14" s="49" t="s">
        <v>13</v>
      </c>
      <c r="G14" s="49" t="s">
        <v>73</v>
      </c>
      <c r="H14" s="49" t="s">
        <v>14</v>
      </c>
      <c r="I14" s="48" t="s">
        <v>73</v>
      </c>
      <c r="J14" s="48" t="s">
        <v>76</v>
      </c>
      <c r="K14" s="48" t="s">
        <v>73</v>
      </c>
      <c r="L14" s="48" t="s">
        <v>18</v>
      </c>
      <c r="M14" s="23">
        <v>2002</v>
      </c>
      <c r="N14" s="23" t="s">
        <v>11</v>
      </c>
      <c r="O14" s="22" t="s">
        <v>12</v>
      </c>
      <c r="P14" s="22" t="s">
        <v>73</v>
      </c>
      <c r="Q14" s="22" t="s">
        <v>13</v>
      </c>
      <c r="R14" s="22" t="s">
        <v>73</v>
      </c>
      <c r="S14" s="53" t="s">
        <v>14</v>
      </c>
      <c r="T14" s="48" t="s">
        <v>73</v>
      </c>
      <c r="U14" s="53" t="s">
        <v>76</v>
      </c>
      <c r="V14" s="48" t="s">
        <v>73</v>
      </c>
      <c r="W14" s="47" t="s">
        <v>74</v>
      </c>
      <c r="X14" s="23">
        <v>2003</v>
      </c>
    </row>
    <row r="15" spans="1:24" ht="7.5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9" ht="64.5" customHeight="1">
      <c r="A16" s="70">
        <v>1</v>
      </c>
      <c r="B16" s="55" t="s">
        <v>4</v>
      </c>
      <c r="C16" s="60">
        <f>SUM(C17:C19)</f>
        <v>5943331854</v>
      </c>
      <c r="D16" s="60">
        <f>SUM(D17:D19)</f>
        <v>387642999.70000005</v>
      </c>
      <c r="E16" s="61">
        <f>D16/C16%</f>
        <v>6.522317939206228</v>
      </c>
      <c r="F16" s="60">
        <f>SUM(F17:F19)</f>
        <v>367524041</v>
      </c>
      <c r="G16" s="62">
        <f>F16/C16%</f>
        <v>6.183804808958258</v>
      </c>
      <c r="H16" s="60">
        <f>SUM(H17:H19)</f>
        <v>379128574.4100001</v>
      </c>
      <c r="I16" s="62">
        <f aca="true" t="shared" si="0" ref="I16:I37">H16/C16%</f>
        <v>6.379057803323531</v>
      </c>
      <c r="J16" s="60">
        <f>SUM(J17:J19)</f>
        <v>447185317.88999987</v>
      </c>
      <c r="K16" s="62">
        <f>J16/C16%</f>
        <v>7.524151921435008</v>
      </c>
      <c r="L16" s="60">
        <f>SUM(L17:L19)</f>
        <v>1581480933</v>
      </c>
      <c r="M16" s="62">
        <f aca="true" t="shared" si="1" ref="M16:M37">J16/C16%</f>
        <v>7.524151921435008</v>
      </c>
      <c r="N16" s="60">
        <f>SUM(N17:N19)</f>
        <v>5939113410</v>
      </c>
      <c r="O16" s="63">
        <f>SUM(O17:O19)</f>
        <v>477629721.37</v>
      </c>
      <c r="P16" s="62">
        <f>O16/N16%</f>
        <v>8.042104745226611</v>
      </c>
      <c r="Q16" s="63">
        <f>SUM(Q17:Q19)</f>
        <v>411078744.66</v>
      </c>
      <c r="R16" s="62">
        <f>Q16/N16%</f>
        <v>6.9215506807437785</v>
      </c>
      <c r="S16" s="60">
        <f>SUM(S17:S19)</f>
        <v>432396643.49</v>
      </c>
      <c r="T16" s="62">
        <f aca="true" t="shared" si="2" ref="T16:T47">S16/N16%</f>
        <v>7.28049144106174</v>
      </c>
      <c r="U16" s="60">
        <f>SUM(U17:U19)</f>
        <v>480665315.4799999</v>
      </c>
      <c r="V16" s="62">
        <f>U16/N16%</f>
        <v>8.093216652012037</v>
      </c>
      <c r="W16" s="60">
        <f>SUM(W17:W19)</f>
        <v>1801770425</v>
      </c>
      <c r="X16" s="62">
        <f aca="true" t="shared" si="3" ref="X16:X47">W16/N16%</f>
        <v>30.337363519044168</v>
      </c>
      <c r="Y16" s="28"/>
      <c r="AC16" s="29"/>
    </row>
    <row r="17" spans="1:29" ht="60" customHeight="1">
      <c r="A17" s="71">
        <v>2</v>
      </c>
      <c r="B17" s="57" t="s">
        <v>5</v>
      </c>
      <c r="C17" s="56">
        <v>2983961018</v>
      </c>
      <c r="D17" s="56">
        <f>213690067.05</f>
        <v>213690067.05</v>
      </c>
      <c r="E17" s="64">
        <f>D17/C17%</f>
        <v>7.161288829209498</v>
      </c>
      <c r="F17" s="56">
        <f>189343999</f>
        <v>189343999</v>
      </c>
      <c r="G17" s="64">
        <f>F17/C17%</f>
        <v>6.345391171594723</v>
      </c>
      <c r="H17" s="56">
        <f>191313816.48</f>
        <v>191313816.48</v>
      </c>
      <c r="I17" s="64">
        <f t="shared" si="0"/>
        <v>6.411404684107706</v>
      </c>
      <c r="J17" s="56">
        <f>794491650-H17-F17-D17</f>
        <v>200143767.46999997</v>
      </c>
      <c r="K17" s="64">
        <f>J17/C17%</f>
        <v>6.707318435552028</v>
      </c>
      <c r="L17" s="56">
        <f>D17+F17+H17+J17</f>
        <v>794491650</v>
      </c>
      <c r="M17" s="64">
        <f t="shared" si="1"/>
        <v>6.707318435552028</v>
      </c>
      <c r="N17" s="56">
        <f>2865752104+259000000</f>
        <v>3124752104</v>
      </c>
      <c r="O17" s="65">
        <f>272600432.12</f>
        <v>272600432.12</v>
      </c>
      <c r="P17" s="64">
        <f>O17/N17%</f>
        <v>8.723905866677992</v>
      </c>
      <c r="Q17" s="65">
        <f>231178688.22</f>
        <v>231178688.22</v>
      </c>
      <c r="R17" s="64">
        <f>Q17/N17%</f>
        <v>7.398304906301777</v>
      </c>
      <c r="S17" s="56">
        <f>194061318+16297098</f>
        <v>210358416</v>
      </c>
      <c r="T17" s="64">
        <f t="shared" si="2"/>
        <v>6.732003339743971</v>
      </c>
      <c r="U17" s="56">
        <f>933705017-S17-Q17-O17</f>
        <v>219567480.65999997</v>
      </c>
      <c r="V17" s="64">
        <f>U17/N17%</f>
        <v>7.026716787515122</v>
      </c>
      <c r="W17" s="56">
        <f>O17+Q17+S17+U17</f>
        <v>933705017</v>
      </c>
      <c r="X17" s="64">
        <f t="shared" si="3"/>
        <v>29.880930900238862</v>
      </c>
      <c r="Y17" s="28"/>
      <c r="AC17" s="29"/>
    </row>
    <row r="18" spans="1:29" ht="60" customHeight="1">
      <c r="A18" s="71">
        <v>3</v>
      </c>
      <c r="B18" s="57" t="s">
        <v>6</v>
      </c>
      <c r="C18" s="56">
        <v>2493429529</v>
      </c>
      <c r="D18" s="56">
        <v>173952932.65</v>
      </c>
      <c r="E18" s="64">
        <f>D18/C18%</f>
        <v>6.97645273815958</v>
      </c>
      <c r="F18" s="56">
        <v>172305831</v>
      </c>
      <c r="G18" s="64">
        <f>F18/C18%</f>
        <v>6.9103950601364685</v>
      </c>
      <c r="H18" s="56">
        <v>165233609.20000005</v>
      </c>
      <c r="I18" s="64">
        <f t="shared" si="0"/>
        <v>6.626760743716212</v>
      </c>
      <c r="J18" s="56">
        <f>693071506-H18-F18-D18</f>
        <v>181579133.14999995</v>
      </c>
      <c r="K18" s="64">
        <f>J18/C18%</f>
        <v>7.282304594460426</v>
      </c>
      <c r="L18" s="56">
        <f>D18+F18+H18+J18</f>
        <v>693071506</v>
      </c>
      <c r="M18" s="64">
        <f t="shared" si="1"/>
        <v>7.282304594460426</v>
      </c>
      <c r="N18" s="56">
        <v>2300168358</v>
      </c>
      <c r="O18" s="65">
        <v>202634222.35999998</v>
      </c>
      <c r="P18" s="64">
        <f>O18/N18%</f>
        <v>8.809538730294976</v>
      </c>
      <c r="Q18" s="65">
        <v>171705518.82000002</v>
      </c>
      <c r="R18" s="64">
        <f>Q18/N18%</f>
        <v>7.46491091501225</v>
      </c>
      <c r="S18" s="56">
        <v>176616511</v>
      </c>
      <c r="T18" s="64">
        <f t="shared" si="2"/>
        <v>7.678416685705926</v>
      </c>
      <c r="U18" s="56">
        <v>176425832.81999993</v>
      </c>
      <c r="V18" s="64">
        <f>U18/N18%</f>
        <v>7.670126936856156</v>
      </c>
      <c r="W18" s="56">
        <f>O18+Q18+S18+U18</f>
        <v>727382085</v>
      </c>
      <c r="X18" s="64">
        <f t="shared" si="3"/>
        <v>31.62299326786931</v>
      </c>
      <c r="Y18" s="28"/>
      <c r="AC18" s="29"/>
    </row>
    <row r="19" spans="1:30" ht="60" customHeight="1">
      <c r="A19" s="72">
        <v>4</v>
      </c>
      <c r="B19" s="57" t="s">
        <v>7</v>
      </c>
      <c r="C19" s="56">
        <v>465941307</v>
      </c>
      <c r="D19" s="56">
        <v>0</v>
      </c>
      <c r="E19" s="64">
        <f>D19/C19%</f>
        <v>0</v>
      </c>
      <c r="F19" s="56">
        <v>5874211</v>
      </c>
      <c r="G19" s="64">
        <f>F19/C19%</f>
        <v>1.260719088810042</v>
      </c>
      <c r="H19" s="56">
        <v>22581148.73</v>
      </c>
      <c r="I19" s="64">
        <f t="shared" si="0"/>
        <v>4.846350471777339</v>
      </c>
      <c r="J19" s="56">
        <f>93917777-H19-F19-D19</f>
        <v>65462417.269999996</v>
      </c>
      <c r="K19" s="64">
        <f>J19/C19%</f>
        <v>14.049498571286788</v>
      </c>
      <c r="L19" s="56">
        <f>D19+F19+H19+J19</f>
        <v>93917777</v>
      </c>
      <c r="M19" s="64">
        <f t="shared" si="1"/>
        <v>14.049498571286788</v>
      </c>
      <c r="N19" s="56">
        <v>514192948</v>
      </c>
      <c r="O19" s="65">
        <v>2395066.89</v>
      </c>
      <c r="P19" s="64">
        <f>O19/N19%</f>
        <v>0.46579146978110636</v>
      </c>
      <c r="Q19" s="65">
        <v>8194537.619999999</v>
      </c>
      <c r="R19" s="64">
        <f>Q19/N19%</f>
        <v>1.5936697793840608</v>
      </c>
      <c r="S19" s="56">
        <v>45421716.49</v>
      </c>
      <c r="T19" s="64">
        <f t="shared" si="2"/>
        <v>8.8335938224497</v>
      </c>
      <c r="U19" s="56">
        <v>84672002</v>
      </c>
      <c r="V19" s="64">
        <f>U19/N19%</f>
        <v>16.46697068276401</v>
      </c>
      <c r="W19" s="56">
        <f>O19+Q19+S19+U19</f>
        <v>140683323</v>
      </c>
      <c r="X19" s="64">
        <f t="shared" si="3"/>
        <v>27.360025754378878</v>
      </c>
      <c r="Y19" s="28"/>
      <c r="AC19" s="29"/>
      <c r="AD19" s="10"/>
    </row>
    <row r="20" spans="1:29" ht="64.5" customHeight="1">
      <c r="A20" s="70">
        <v>5</v>
      </c>
      <c r="B20" s="60" t="s">
        <v>8</v>
      </c>
      <c r="C20" s="60">
        <f>SUM(C21:C52)</f>
        <v>20838437775</v>
      </c>
      <c r="D20" s="60">
        <f>SUM(D21:D52)</f>
        <v>1310004976.1599998</v>
      </c>
      <c r="E20" s="66">
        <f>D20/C20%</f>
        <v>6.286483614100961</v>
      </c>
      <c r="F20" s="60">
        <f>SUM(F21:F52)</f>
        <v>1438765395</v>
      </c>
      <c r="G20" s="62">
        <f>F20/C20%</f>
        <v>6.904382231215506</v>
      </c>
      <c r="H20" s="60">
        <f>SUM(H21:H52)</f>
        <v>1395719150.93</v>
      </c>
      <c r="I20" s="62">
        <f t="shared" si="0"/>
        <v>6.697810872389161</v>
      </c>
      <c r="J20" s="60">
        <f>SUM(J21:J52)</f>
        <v>1591360607.91</v>
      </c>
      <c r="K20" s="62">
        <f>J20/C20%</f>
        <v>7.636659835504392</v>
      </c>
      <c r="L20" s="60">
        <f>SUM(L21:L52)</f>
        <v>5735850130</v>
      </c>
      <c r="M20" s="62">
        <f t="shared" si="1"/>
        <v>7.636659835504392</v>
      </c>
      <c r="N20" s="60">
        <f>SUM(N21:N52)</f>
        <v>22631852946</v>
      </c>
      <c r="O20" s="63">
        <f>SUM(O21:O52)</f>
        <v>1200018207.9199998</v>
      </c>
      <c r="P20" s="62">
        <f>O20/N20%</f>
        <v>5.3023418399866085</v>
      </c>
      <c r="Q20" s="63">
        <f>SUM(Q21:Q52)</f>
        <v>1412753662.4300003</v>
      </c>
      <c r="R20" s="62">
        <f>Q20/N20%</f>
        <v>6.242324328462435</v>
      </c>
      <c r="S20" s="60">
        <f>SUM(S21:S52)</f>
        <v>1964001968.6499996</v>
      </c>
      <c r="T20" s="62">
        <f t="shared" si="2"/>
        <v>8.67804316922765</v>
      </c>
      <c r="U20" s="60">
        <f>SUM(U21:U52)</f>
        <v>1505033215</v>
      </c>
      <c r="V20" s="62">
        <f>U20/N20%</f>
        <v>6.650066252158123</v>
      </c>
      <c r="W20" s="60">
        <f>SUM(W21:W52)</f>
        <v>6081807054</v>
      </c>
      <c r="X20" s="62">
        <f t="shared" si="3"/>
        <v>26.872775589834816</v>
      </c>
      <c r="Y20" s="28"/>
      <c r="AC20" s="29"/>
    </row>
    <row r="21" spans="1:29" ht="60" customHeight="1">
      <c r="A21" s="71">
        <v>6</v>
      </c>
      <c r="B21" s="57" t="s">
        <v>21</v>
      </c>
      <c r="C21" s="56">
        <v>112900000</v>
      </c>
      <c r="D21" s="56">
        <v>8038608</v>
      </c>
      <c r="E21" s="64">
        <f aca="true" t="shared" si="4" ref="E21:E52">D21/C21%</f>
        <v>7.120113374667848</v>
      </c>
      <c r="F21" s="56">
        <v>12327709</v>
      </c>
      <c r="G21" s="64">
        <f aca="true" t="shared" si="5" ref="G21:G52">F21/C21%</f>
        <v>10.919139946855625</v>
      </c>
      <c r="H21" s="56">
        <v>9893714.989999998</v>
      </c>
      <c r="I21" s="64">
        <f t="shared" si="0"/>
        <v>8.76325508414526</v>
      </c>
      <c r="J21" s="56">
        <f>40521585-H21-F21-D21</f>
        <v>10261553.010000002</v>
      </c>
      <c r="K21" s="64">
        <f aca="true" t="shared" si="6" ref="K21:K52">J21/C21%</f>
        <v>9.089063782108061</v>
      </c>
      <c r="L21" s="56">
        <f aca="true" t="shared" si="7" ref="L21:L52">D21+F21+H21+J21</f>
        <v>40521585</v>
      </c>
      <c r="M21" s="64">
        <f t="shared" si="1"/>
        <v>9.089063782108061</v>
      </c>
      <c r="N21" s="56">
        <v>5308700</v>
      </c>
      <c r="O21" s="65">
        <v>0</v>
      </c>
      <c r="P21" s="64">
        <f aca="true" t="shared" si="8" ref="P21:P52">O21/N21%</f>
        <v>0</v>
      </c>
      <c r="Q21" s="65">
        <v>0</v>
      </c>
      <c r="R21" s="64">
        <f aca="true" t="shared" si="9" ref="R21:R52">Q21/N21%</f>
        <v>0</v>
      </c>
      <c r="S21" s="56">
        <v>0</v>
      </c>
      <c r="T21" s="64">
        <f t="shared" si="2"/>
        <v>0</v>
      </c>
      <c r="U21" s="56">
        <v>0</v>
      </c>
      <c r="V21" s="64">
        <f aca="true" t="shared" si="10" ref="V21:V52">U21/N21%</f>
        <v>0</v>
      </c>
      <c r="W21" s="56">
        <f aca="true" t="shared" si="11" ref="W21:W52">O21+Q21+S21+U21</f>
        <v>0</v>
      </c>
      <c r="X21" s="64">
        <f t="shared" si="3"/>
        <v>0</v>
      </c>
      <c r="Y21" s="28"/>
      <c r="AC21" s="29"/>
    </row>
    <row r="22" spans="1:29" ht="60" customHeight="1">
      <c r="A22" s="71">
        <v>7</v>
      </c>
      <c r="B22" s="57" t="s">
        <v>22</v>
      </c>
      <c r="C22" s="56">
        <v>300000000</v>
      </c>
      <c r="D22" s="56">
        <v>248339</v>
      </c>
      <c r="E22" s="64">
        <f t="shared" si="4"/>
        <v>0.08277966666666667</v>
      </c>
      <c r="F22" s="56">
        <v>609604</v>
      </c>
      <c r="G22" s="64">
        <f t="shared" si="5"/>
        <v>0.20320133333333334</v>
      </c>
      <c r="H22" s="56">
        <v>3027028.31</v>
      </c>
      <c r="I22" s="64">
        <f t="shared" si="0"/>
        <v>1.0090094366666666</v>
      </c>
      <c r="J22" s="56">
        <f>6724533-H22-F22-D22</f>
        <v>2839561.69</v>
      </c>
      <c r="K22" s="64">
        <f t="shared" si="6"/>
        <v>0.9465205633333333</v>
      </c>
      <c r="L22" s="56">
        <f t="shared" si="7"/>
        <v>6724533</v>
      </c>
      <c r="M22" s="64">
        <f t="shared" si="1"/>
        <v>0.9465205633333333</v>
      </c>
      <c r="N22" s="56">
        <v>360000000</v>
      </c>
      <c r="O22" s="65">
        <v>21941451.53</v>
      </c>
      <c r="P22" s="64">
        <f t="shared" si="8"/>
        <v>6.094847647222222</v>
      </c>
      <c r="Q22" s="65">
        <v>22783565.46</v>
      </c>
      <c r="R22" s="64">
        <f t="shared" si="9"/>
        <v>6.328768183333334</v>
      </c>
      <c r="S22" s="56">
        <v>23626360.009999998</v>
      </c>
      <c r="T22" s="64">
        <f t="shared" si="2"/>
        <v>6.562877780555555</v>
      </c>
      <c r="U22" s="56">
        <v>27890706</v>
      </c>
      <c r="V22" s="64">
        <f t="shared" si="10"/>
        <v>7.747418333333333</v>
      </c>
      <c r="W22" s="56">
        <f t="shared" si="11"/>
        <v>96242083</v>
      </c>
      <c r="X22" s="64">
        <f t="shared" si="3"/>
        <v>26.733911944444444</v>
      </c>
      <c r="Y22" s="28"/>
      <c r="AC22" s="29"/>
    </row>
    <row r="23" spans="1:29" ht="60" customHeight="1">
      <c r="A23" s="72">
        <v>8</v>
      </c>
      <c r="B23" s="57" t="s">
        <v>23</v>
      </c>
      <c r="C23" s="56">
        <v>130732290</v>
      </c>
      <c r="D23" s="56">
        <v>468804.05</v>
      </c>
      <c r="E23" s="64">
        <f t="shared" si="4"/>
        <v>0.35859851456744163</v>
      </c>
      <c r="F23" s="56">
        <v>4418766</v>
      </c>
      <c r="G23" s="64">
        <f t="shared" si="5"/>
        <v>3.380011166330828</v>
      </c>
      <c r="H23" s="56">
        <v>11110359.219999999</v>
      </c>
      <c r="I23" s="64">
        <f t="shared" si="0"/>
        <v>8.498557793181776</v>
      </c>
      <c r="J23" s="56">
        <f>26172690-H23-F23-D23</f>
        <v>10174760.73</v>
      </c>
      <c r="K23" s="64">
        <f t="shared" si="6"/>
        <v>7.7828979588745835</v>
      </c>
      <c r="L23" s="56">
        <f t="shared" si="7"/>
        <v>26172690</v>
      </c>
      <c r="M23" s="64">
        <f t="shared" si="1"/>
        <v>7.7828979588745835</v>
      </c>
      <c r="N23" s="56">
        <v>114357000</v>
      </c>
      <c r="O23" s="65">
        <v>1286183.59</v>
      </c>
      <c r="P23" s="64">
        <f t="shared" si="8"/>
        <v>1.1247091039464134</v>
      </c>
      <c r="Q23" s="65">
        <v>6654741.21</v>
      </c>
      <c r="R23" s="64">
        <f t="shared" si="9"/>
        <v>5.819268789842336</v>
      </c>
      <c r="S23" s="56">
        <v>8096691.2</v>
      </c>
      <c r="T23" s="64">
        <f t="shared" si="2"/>
        <v>7.0801885324029135</v>
      </c>
      <c r="U23" s="56">
        <v>9355625</v>
      </c>
      <c r="V23" s="64">
        <f t="shared" si="10"/>
        <v>8.181068933252883</v>
      </c>
      <c r="W23" s="56">
        <f t="shared" si="11"/>
        <v>25393241</v>
      </c>
      <c r="X23" s="64">
        <f t="shared" si="3"/>
        <v>22.205235359444547</v>
      </c>
      <c r="Y23" s="28"/>
      <c r="AC23" s="29"/>
    </row>
    <row r="24" spans="1:29" ht="60" customHeight="1">
      <c r="A24" s="71">
        <v>9</v>
      </c>
      <c r="B24" s="57" t="s">
        <v>24</v>
      </c>
      <c r="C24" s="56">
        <v>199803836</v>
      </c>
      <c r="D24" s="56">
        <v>4226693.68</v>
      </c>
      <c r="E24" s="64">
        <f t="shared" si="4"/>
        <v>2.115421687899926</v>
      </c>
      <c r="F24" s="56">
        <v>12548457</v>
      </c>
      <c r="G24" s="64">
        <f t="shared" si="5"/>
        <v>6.280388430580482</v>
      </c>
      <c r="H24" s="56">
        <v>14273551.780000001</v>
      </c>
      <c r="I24" s="64">
        <f t="shared" si="0"/>
        <v>7.143782654903583</v>
      </c>
      <c r="J24" s="56">
        <f>46308581-H24-F24-D24</f>
        <v>15259878.54</v>
      </c>
      <c r="K24" s="64">
        <f t="shared" si="6"/>
        <v>7.637430214302792</v>
      </c>
      <c r="L24" s="56">
        <f t="shared" si="7"/>
        <v>46308581</v>
      </c>
      <c r="M24" s="64">
        <f t="shared" si="1"/>
        <v>7.637430214302792</v>
      </c>
      <c r="N24" s="56">
        <v>191450000</v>
      </c>
      <c r="O24" s="65">
        <v>3176439.37</v>
      </c>
      <c r="P24" s="64">
        <f t="shared" si="8"/>
        <v>1.6591482737007053</v>
      </c>
      <c r="Q24" s="65">
        <v>10410197.09</v>
      </c>
      <c r="R24" s="64">
        <f t="shared" si="9"/>
        <v>5.437553977539827</v>
      </c>
      <c r="S24" s="56">
        <v>14481040.54</v>
      </c>
      <c r="T24" s="64">
        <f t="shared" si="2"/>
        <v>7.563875967615565</v>
      </c>
      <c r="U24" s="56">
        <v>13798527.000000004</v>
      </c>
      <c r="V24" s="64">
        <f t="shared" si="10"/>
        <v>7.207378950117526</v>
      </c>
      <c r="W24" s="56">
        <f t="shared" si="11"/>
        <v>41866204</v>
      </c>
      <c r="X24" s="64">
        <f t="shared" si="3"/>
        <v>21.86795716897362</v>
      </c>
      <c r="Y24" s="28"/>
      <c r="AC24" s="29"/>
    </row>
    <row r="25" spans="1:29" ht="60" customHeight="1">
      <c r="A25" s="71">
        <v>10</v>
      </c>
      <c r="B25" s="57" t="s">
        <v>25</v>
      </c>
      <c r="C25" s="56">
        <v>83500000</v>
      </c>
      <c r="D25" s="56">
        <v>242924.1</v>
      </c>
      <c r="E25" s="64">
        <f t="shared" si="4"/>
        <v>0.2909270658682635</v>
      </c>
      <c r="F25" s="56">
        <v>2601485</v>
      </c>
      <c r="G25" s="64">
        <f t="shared" si="5"/>
        <v>3.1155508982035927</v>
      </c>
      <c r="H25" s="56">
        <v>6513703.780000001</v>
      </c>
      <c r="I25" s="64">
        <f t="shared" si="0"/>
        <v>7.800842850299403</v>
      </c>
      <c r="J25" s="56">
        <f>15931283-H25-F25-D25</f>
        <v>6573170.119999999</v>
      </c>
      <c r="K25" s="64">
        <f t="shared" si="6"/>
        <v>7.872060023952095</v>
      </c>
      <c r="L25" s="56">
        <f t="shared" si="7"/>
        <v>15931283</v>
      </c>
      <c r="M25" s="64">
        <f t="shared" si="1"/>
        <v>7.872060023952095</v>
      </c>
      <c r="N25" s="56">
        <v>78896000</v>
      </c>
      <c r="O25" s="65">
        <v>24566.76</v>
      </c>
      <c r="P25" s="64">
        <f t="shared" si="8"/>
        <v>0.031138156560535386</v>
      </c>
      <c r="Q25" s="65">
        <v>5748057.3100000005</v>
      </c>
      <c r="R25" s="64">
        <f t="shared" si="9"/>
        <v>7.285613098255933</v>
      </c>
      <c r="S25" s="56">
        <v>6291169.93</v>
      </c>
      <c r="T25" s="64">
        <f t="shared" si="2"/>
        <v>7.974003663050091</v>
      </c>
      <c r="U25" s="56">
        <v>6119769.999999998</v>
      </c>
      <c r="V25" s="64">
        <f t="shared" si="10"/>
        <v>7.75675572906104</v>
      </c>
      <c r="W25" s="56">
        <f t="shared" si="11"/>
        <v>18183564</v>
      </c>
      <c r="X25" s="64">
        <f t="shared" si="3"/>
        <v>23.047510646927602</v>
      </c>
      <c r="Y25" s="28"/>
      <c r="AC25" s="29"/>
    </row>
    <row r="26" spans="1:29" ht="60" customHeight="1">
      <c r="A26" s="71">
        <v>11</v>
      </c>
      <c r="B26" s="57" t="s">
        <v>26</v>
      </c>
      <c r="C26" s="56">
        <v>245000000</v>
      </c>
      <c r="D26" s="56">
        <v>0</v>
      </c>
      <c r="E26" s="64">
        <f t="shared" si="4"/>
        <v>0</v>
      </c>
      <c r="F26" s="56">
        <v>1488885</v>
      </c>
      <c r="G26" s="64">
        <f t="shared" si="5"/>
        <v>0.6077081632653061</v>
      </c>
      <c r="H26" s="56">
        <v>20400000</v>
      </c>
      <c r="I26" s="64">
        <f t="shared" si="0"/>
        <v>8.326530612244898</v>
      </c>
      <c r="J26" s="56">
        <f>42288885-H26-F26-D26</f>
        <v>20400000</v>
      </c>
      <c r="K26" s="64">
        <f t="shared" si="6"/>
        <v>8.326530612244898</v>
      </c>
      <c r="L26" s="56">
        <f t="shared" si="7"/>
        <v>42288885</v>
      </c>
      <c r="M26" s="64">
        <f t="shared" si="1"/>
        <v>8.326530612244898</v>
      </c>
      <c r="N26" s="56">
        <v>245000000</v>
      </c>
      <c r="O26" s="65">
        <v>0</v>
      </c>
      <c r="P26" s="64">
        <f t="shared" si="8"/>
        <v>0</v>
      </c>
      <c r="Q26" s="65">
        <v>19688885</v>
      </c>
      <c r="R26" s="64">
        <f t="shared" si="9"/>
        <v>8.036279591836735</v>
      </c>
      <c r="S26" s="56">
        <v>23400000</v>
      </c>
      <c r="T26" s="64">
        <f t="shared" si="2"/>
        <v>9.551020408163266</v>
      </c>
      <c r="U26" s="56">
        <v>23400000</v>
      </c>
      <c r="V26" s="64">
        <f t="shared" si="10"/>
        <v>9.551020408163266</v>
      </c>
      <c r="W26" s="56">
        <f t="shared" si="11"/>
        <v>66488885</v>
      </c>
      <c r="X26" s="64">
        <f t="shared" si="3"/>
        <v>27.138320408163267</v>
      </c>
      <c r="Y26" s="28"/>
      <c r="AC26" s="29"/>
    </row>
    <row r="27" spans="1:29" ht="60" customHeight="1">
      <c r="A27" s="71">
        <v>12</v>
      </c>
      <c r="B27" s="57" t="s">
        <v>27</v>
      </c>
      <c r="C27" s="56">
        <v>79430000</v>
      </c>
      <c r="D27" s="56">
        <v>0</v>
      </c>
      <c r="E27" s="64">
        <f t="shared" si="4"/>
        <v>0</v>
      </c>
      <c r="F27" s="56">
        <v>4668364</v>
      </c>
      <c r="G27" s="64">
        <f t="shared" si="5"/>
        <v>5.877330983255697</v>
      </c>
      <c r="H27" s="56">
        <v>6405080.529999999</v>
      </c>
      <c r="I27" s="64">
        <f t="shared" si="0"/>
        <v>8.06380527508498</v>
      </c>
      <c r="J27" s="56">
        <f>20030169-H27-F27-D27</f>
        <v>8956724.47</v>
      </c>
      <c r="K27" s="64">
        <f t="shared" si="6"/>
        <v>11.276248860632004</v>
      </c>
      <c r="L27" s="56">
        <f t="shared" si="7"/>
        <v>20030169</v>
      </c>
      <c r="M27" s="64">
        <f t="shared" si="1"/>
        <v>11.276248860632004</v>
      </c>
      <c r="N27" s="56">
        <v>69950000</v>
      </c>
      <c r="O27" s="65">
        <v>0</v>
      </c>
      <c r="P27" s="64">
        <f t="shared" si="8"/>
        <v>0</v>
      </c>
      <c r="Q27" s="65">
        <v>1813480.46</v>
      </c>
      <c r="R27" s="64">
        <f t="shared" si="9"/>
        <v>2.592538184417441</v>
      </c>
      <c r="S27" s="56">
        <v>18909.54</v>
      </c>
      <c r="T27" s="64">
        <f t="shared" si="2"/>
        <v>0.027032937812723375</v>
      </c>
      <c r="U27" s="56">
        <v>4098765</v>
      </c>
      <c r="V27" s="64">
        <f t="shared" si="10"/>
        <v>5.859563974267334</v>
      </c>
      <c r="W27" s="56">
        <f t="shared" si="11"/>
        <v>5931155</v>
      </c>
      <c r="X27" s="64">
        <f t="shared" si="3"/>
        <v>8.479135096497497</v>
      </c>
      <c r="Y27" s="28"/>
      <c r="AC27" s="29"/>
    </row>
    <row r="28" spans="1:29" ht="60" customHeight="1">
      <c r="A28" s="72">
        <v>13</v>
      </c>
      <c r="B28" s="57" t="s">
        <v>41</v>
      </c>
      <c r="C28" s="56">
        <v>25020000</v>
      </c>
      <c r="D28" s="56">
        <v>139998.62</v>
      </c>
      <c r="E28" s="64">
        <f t="shared" si="4"/>
        <v>0.5595468425259792</v>
      </c>
      <c r="F28" s="56">
        <v>737096</v>
      </c>
      <c r="G28" s="64">
        <f t="shared" si="5"/>
        <v>2.946027178257394</v>
      </c>
      <c r="H28" s="56">
        <v>2509137.09</v>
      </c>
      <c r="I28" s="64">
        <f t="shared" si="0"/>
        <v>10.028525539568344</v>
      </c>
      <c r="J28" s="56">
        <f>6634984-H28-F28-D28</f>
        <v>3248752.29</v>
      </c>
      <c r="K28" s="64">
        <f t="shared" si="6"/>
        <v>12.984621462829736</v>
      </c>
      <c r="L28" s="56">
        <f t="shared" si="7"/>
        <v>6634984</v>
      </c>
      <c r="M28" s="64">
        <f t="shared" si="1"/>
        <v>12.984621462829736</v>
      </c>
      <c r="N28" s="56">
        <v>22436000</v>
      </c>
      <c r="O28" s="65">
        <v>0</v>
      </c>
      <c r="P28" s="64">
        <f t="shared" si="8"/>
        <v>0</v>
      </c>
      <c r="Q28" s="65">
        <v>205176.1</v>
      </c>
      <c r="R28" s="64">
        <f t="shared" si="9"/>
        <v>0.9144950080228205</v>
      </c>
      <c r="S28" s="56">
        <v>2984966.9</v>
      </c>
      <c r="T28" s="64">
        <f t="shared" si="2"/>
        <v>13.304363077197362</v>
      </c>
      <c r="U28" s="56">
        <v>336655</v>
      </c>
      <c r="V28" s="64">
        <f t="shared" si="10"/>
        <v>1.5005125690853984</v>
      </c>
      <c r="W28" s="56">
        <f t="shared" si="11"/>
        <v>3526798</v>
      </c>
      <c r="X28" s="64">
        <f t="shared" si="3"/>
        <v>15.71937065430558</v>
      </c>
      <c r="Y28" s="28"/>
      <c r="AC28" s="29"/>
    </row>
    <row r="29" spans="1:29" ht="60" customHeight="1">
      <c r="A29" s="71">
        <v>14</v>
      </c>
      <c r="B29" s="57" t="s">
        <v>42</v>
      </c>
      <c r="C29" s="56">
        <v>37663400</v>
      </c>
      <c r="D29" s="56">
        <v>0</v>
      </c>
      <c r="E29" s="64">
        <f t="shared" si="4"/>
        <v>0</v>
      </c>
      <c r="F29" s="56">
        <v>0</v>
      </c>
      <c r="G29" s="64">
        <f t="shared" si="5"/>
        <v>0</v>
      </c>
      <c r="H29" s="56">
        <v>717105.15</v>
      </c>
      <c r="I29" s="64">
        <f t="shared" si="0"/>
        <v>1.903984106586235</v>
      </c>
      <c r="J29" s="56">
        <f>1719330-H29-F29-D29</f>
        <v>1002224.85</v>
      </c>
      <c r="K29" s="64">
        <f t="shared" si="6"/>
        <v>2.6610047154531986</v>
      </c>
      <c r="L29" s="56">
        <f t="shared" si="7"/>
        <v>1719330</v>
      </c>
      <c r="M29" s="64">
        <f t="shared" si="1"/>
        <v>2.6610047154531986</v>
      </c>
      <c r="N29" s="56">
        <v>26651400</v>
      </c>
      <c r="O29" s="65">
        <v>0</v>
      </c>
      <c r="P29" s="64">
        <f t="shared" si="8"/>
        <v>0</v>
      </c>
      <c r="Q29" s="65">
        <v>0</v>
      </c>
      <c r="R29" s="64">
        <f t="shared" si="9"/>
        <v>0</v>
      </c>
      <c r="S29" s="56">
        <v>0</v>
      </c>
      <c r="T29" s="64">
        <f t="shared" si="2"/>
        <v>0</v>
      </c>
      <c r="U29" s="56">
        <v>0</v>
      </c>
      <c r="V29" s="64">
        <f t="shared" si="10"/>
        <v>0</v>
      </c>
      <c r="W29" s="56">
        <f t="shared" si="11"/>
        <v>0</v>
      </c>
      <c r="X29" s="64">
        <f t="shared" si="3"/>
        <v>0</v>
      </c>
      <c r="Y29" s="28"/>
      <c r="AC29" s="29"/>
    </row>
    <row r="30" spans="1:29" ht="60" customHeight="1">
      <c r="A30" s="71">
        <v>15</v>
      </c>
      <c r="B30" s="57" t="s">
        <v>43</v>
      </c>
      <c r="C30" s="56">
        <v>566000000</v>
      </c>
      <c r="D30" s="56">
        <v>29980309</v>
      </c>
      <c r="E30" s="64">
        <f t="shared" si="4"/>
        <v>5.296874381625441</v>
      </c>
      <c r="F30" s="56">
        <v>56360596</v>
      </c>
      <c r="G30" s="64">
        <f t="shared" si="5"/>
        <v>9.957702473498234</v>
      </c>
      <c r="H30" s="56">
        <v>41571102.120000005</v>
      </c>
      <c r="I30" s="64">
        <f t="shared" si="0"/>
        <v>7.344717689045937</v>
      </c>
      <c r="J30" s="56">
        <f>173409808-H30-F30-D30</f>
        <v>45497800.879999995</v>
      </c>
      <c r="K30" s="64">
        <f t="shared" si="6"/>
        <v>8.038480720848055</v>
      </c>
      <c r="L30" s="56">
        <f t="shared" si="7"/>
        <v>173409808</v>
      </c>
      <c r="M30" s="64">
        <f t="shared" si="1"/>
        <v>8.038480720848055</v>
      </c>
      <c r="N30" s="56">
        <v>615000000</v>
      </c>
      <c r="O30" s="65">
        <v>31358125.349999998</v>
      </c>
      <c r="P30" s="64">
        <f t="shared" si="8"/>
        <v>5.098882170731707</v>
      </c>
      <c r="Q30" s="65">
        <v>45590963.78</v>
      </c>
      <c r="R30" s="64">
        <f t="shared" si="9"/>
        <v>7.413164842276423</v>
      </c>
      <c r="S30" s="56">
        <v>89127801.87</v>
      </c>
      <c r="T30" s="64">
        <f t="shared" si="2"/>
        <v>14.492325507317075</v>
      </c>
      <c r="U30" s="56">
        <v>9869303</v>
      </c>
      <c r="V30" s="64">
        <f t="shared" si="10"/>
        <v>1.6047647154471545</v>
      </c>
      <c r="W30" s="56">
        <f t="shared" si="11"/>
        <v>175946194</v>
      </c>
      <c r="X30" s="64">
        <f t="shared" si="3"/>
        <v>28.60913723577236</v>
      </c>
      <c r="Y30" s="28"/>
      <c r="AC30" s="29"/>
    </row>
    <row r="31" spans="1:29" ht="60" customHeight="1">
      <c r="A31" s="72">
        <v>16</v>
      </c>
      <c r="B31" s="57" t="s">
        <v>29</v>
      </c>
      <c r="C31" s="56">
        <v>76800000</v>
      </c>
      <c r="D31" s="56">
        <v>256167.83</v>
      </c>
      <c r="E31" s="64">
        <f t="shared" si="4"/>
        <v>0.33355186197916664</v>
      </c>
      <c r="F31" s="56">
        <v>69670</v>
      </c>
      <c r="G31" s="64">
        <f t="shared" si="5"/>
        <v>0.09071614583333333</v>
      </c>
      <c r="H31" s="56">
        <v>2799799.31</v>
      </c>
      <c r="I31" s="64">
        <f t="shared" si="0"/>
        <v>3.6455720182291667</v>
      </c>
      <c r="J31" s="56">
        <f>5814955-H31-F31-D31</f>
        <v>2689317.86</v>
      </c>
      <c r="K31" s="64">
        <f t="shared" si="6"/>
        <v>3.5017159635416664</v>
      </c>
      <c r="L31" s="56">
        <f t="shared" si="7"/>
        <v>5814955</v>
      </c>
      <c r="M31" s="64">
        <f t="shared" si="1"/>
        <v>3.5017159635416664</v>
      </c>
      <c r="N31" s="56">
        <v>71717400</v>
      </c>
      <c r="O31" s="65">
        <v>0</v>
      </c>
      <c r="P31" s="64">
        <f t="shared" si="8"/>
        <v>0</v>
      </c>
      <c r="Q31" s="65">
        <v>2458505.32</v>
      </c>
      <c r="R31" s="64">
        <f t="shared" si="9"/>
        <v>3.4280458019950526</v>
      </c>
      <c r="S31" s="56">
        <v>2001172.68</v>
      </c>
      <c r="T31" s="64">
        <f t="shared" si="2"/>
        <v>2.7903586577315966</v>
      </c>
      <c r="U31" s="56">
        <v>1029124</v>
      </c>
      <c r="V31" s="64">
        <f t="shared" si="10"/>
        <v>1.4349711506552105</v>
      </c>
      <c r="W31" s="56">
        <f t="shared" si="11"/>
        <v>5488802</v>
      </c>
      <c r="X31" s="64">
        <f t="shared" si="3"/>
        <v>7.65337561038186</v>
      </c>
      <c r="Y31" s="28"/>
      <c r="AC31" s="29"/>
    </row>
    <row r="32" spans="1:29" ht="60" customHeight="1">
      <c r="A32" s="71">
        <v>17</v>
      </c>
      <c r="B32" s="57" t="s">
        <v>30</v>
      </c>
      <c r="C32" s="56">
        <v>202521755</v>
      </c>
      <c r="D32" s="56">
        <v>1483046.8</v>
      </c>
      <c r="E32" s="64">
        <f t="shared" si="4"/>
        <v>0.7322901186591041</v>
      </c>
      <c r="F32" s="56">
        <v>4017718</v>
      </c>
      <c r="G32" s="64">
        <f t="shared" si="5"/>
        <v>1.9838451429576047</v>
      </c>
      <c r="H32" s="56">
        <v>11545880.620000001</v>
      </c>
      <c r="I32" s="64">
        <f t="shared" si="0"/>
        <v>5.701056965460328</v>
      </c>
      <c r="J32" s="56">
        <f>21320537-H32-F32-D32</f>
        <v>4273891.579999999</v>
      </c>
      <c r="K32" s="64">
        <f t="shared" si="6"/>
        <v>2.1103370252741485</v>
      </c>
      <c r="L32" s="56">
        <f t="shared" si="7"/>
        <v>21320537</v>
      </c>
      <c r="M32" s="64">
        <f t="shared" si="1"/>
        <v>2.1103370252741485</v>
      </c>
      <c r="N32" s="56">
        <v>175520315</v>
      </c>
      <c r="O32" s="65">
        <v>9935.38</v>
      </c>
      <c r="P32" s="64">
        <f t="shared" si="8"/>
        <v>0.0056605299506213855</v>
      </c>
      <c r="Q32" s="65">
        <v>3747317.34</v>
      </c>
      <c r="R32" s="64">
        <f t="shared" si="9"/>
        <v>2.13497642139031</v>
      </c>
      <c r="S32" s="56">
        <v>6155568.279999999</v>
      </c>
      <c r="T32" s="64">
        <f t="shared" si="2"/>
        <v>3.507040355983864</v>
      </c>
      <c r="U32" s="56">
        <v>3285914</v>
      </c>
      <c r="V32" s="64">
        <f t="shared" si="10"/>
        <v>1.8720989647266757</v>
      </c>
      <c r="W32" s="56">
        <f t="shared" si="11"/>
        <v>13198735</v>
      </c>
      <c r="X32" s="64">
        <f t="shared" si="3"/>
        <v>7.519776272051472</v>
      </c>
      <c r="Y32" s="28"/>
      <c r="AC32" s="29"/>
    </row>
    <row r="33" spans="1:29" ht="60" customHeight="1">
      <c r="A33" s="71">
        <v>18</v>
      </c>
      <c r="B33" s="57" t="s">
        <v>31</v>
      </c>
      <c r="C33" s="56">
        <v>66684450</v>
      </c>
      <c r="D33" s="56">
        <v>108121</v>
      </c>
      <c r="E33" s="64">
        <f t="shared" si="4"/>
        <v>0.16213824962191337</v>
      </c>
      <c r="F33" s="56">
        <v>2587515</v>
      </c>
      <c r="G33" s="64">
        <f t="shared" si="5"/>
        <v>3.880237446661103</v>
      </c>
      <c r="H33" s="56">
        <v>1372169.23</v>
      </c>
      <c r="I33" s="64">
        <f t="shared" si="0"/>
        <v>2.0577049522039994</v>
      </c>
      <c r="J33" s="56">
        <f>4592400-H33-F33-D33</f>
        <v>524594.77</v>
      </c>
      <c r="K33" s="64">
        <f t="shared" si="6"/>
        <v>0.7866823074944759</v>
      </c>
      <c r="L33" s="56">
        <f t="shared" si="7"/>
        <v>4592400</v>
      </c>
      <c r="M33" s="64">
        <f t="shared" si="1"/>
        <v>0.7866823074944759</v>
      </c>
      <c r="N33" s="56">
        <v>63006084</v>
      </c>
      <c r="O33" s="65">
        <v>1711706.54</v>
      </c>
      <c r="P33" s="64">
        <f t="shared" si="8"/>
        <v>2.716732149231811</v>
      </c>
      <c r="Q33" s="65">
        <v>725918.85</v>
      </c>
      <c r="R33" s="64">
        <f t="shared" si="9"/>
        <v>1.1521408789665455</v>
      </c>
      <c r="S33" s="56">
        <v>1420037.61</v>
      </c>
      <c r="T33" s="64">
        <f t="shared" si="2"/>
        <v>2.253810298700678</v>
      </c>
      <c r="U33" s="56">
        <v>394308</v>
      </c>
      <c r="V33" s="64">
        <f t="shared" si="10"/>
        <v>0.6258252774446353</v>
      </c>
      <c r="W33" s="56">
        <f t="shared" si="11"/>
        <v>4251971</v>
      </c>
      <c r="X33" s="64">
        <f t="shared" si="3"/>
        <v>6.7485086043436695</v>
      </c>
      <c r="Y33" s="28"/>
      <c r="AC33" s="29"/>
    </row>
    <row r="34" spans="1:29" ht="60" customHeight="1">
      <c r="A34" s="72">
        <v>19</v>
      </c>
      <c r="B34" s="57" t="s">
        <v>32</v>
      </c>
      <c r="C34" s="56">
        <v>168000000</v>
      </c>
      <c r="D34" s="56">
        <v>0</v>
      </c>
      <c r="E34" s="64">
        <f t="shared" si="4"/>
        <v>0</v>
      </c>
      <c r="F34" s="56">
        <v>0</v>
      </c>
      <c r="G34" s="64">
        <f t="shared" si="5"/>
        <v>0</v>
      </c>
      <c r="H34" s="56">
        <v>46385.1</v>
      </c>
      <c r="I34" s="64">
        <f t="shared" si="0"/>
        <v>0.02761017857142857</v>
      </c>
      <c r="J34" s="56">
        <f>430374-H34-F34-D34</f>
        <v>383988.9</v>
      </c>
      <c r="K34" s="64">
        <f t="shared" si="6"/>
        <v>0.22856482142857143</v>
      </c>
      <c r="L34" s="56">
        <f t="shared" si="7"/>
        <v>430374</v>
      </c>
      <c r="M34" s="64">
        <f t="shared" si="1"/>
        <v>0.22856482142857143</v>
      </c>
      <c r="N34" s="56">
        <v>90000000</v>
      </c>
      <c r="O34" s="65">
        <v>0</v>
      </c>
      <c r="P34" s="64">
        <f t="shared" si="8"/>
        <v>0</v>
      </c>
      <c r="Q34" s="65">
        <v>5961.55</v>
      </c>
      <c r="R34" s="64">
        <f t="shared" si="9"/>
        <v>0.0066239444444444445</v>
      </c>
      <c r="S34" s="56">
        <v>6633927.45</v>
      </c>
      <c r="T34" s="64">
        <f t="shared" si="2"/>
        <v>7.3710305</v>
      </c>
      <c r="U34" s="56">
        <v>14283430</v>
      </c>
      <c r="V34" s="64">
        <f t="shared" si="10"/>
        <v>15.870477777777777</v>
      </c>
      <c r="W34" s="56">
        <f t="shared" si="11"/>
        <v>20923319</v>
      </c>
      <c r="X34" s="64">
        <f t="shared" si="3"/>
        <v>23.24813222222222</v>
      </c>
      <c r="Y34" s="28"/>
      <c r="AC34" s="29"/>
    </row>
    <row r="35" spans="1:29" ht="60" customHeight="1">
      <c r="A35" s="71">
        <v>20</v>
      </c>
      <c r="B35" s="58" t="s">
        <v>33</v>
      </c>
      <c r="C35" s="56">
        <v>187452000</v>
      </c>
      <c r="D35" s="56">
        <v>0</v>
      </c>
      <c r="E35" s="64">
        <f t="shared" si="4"/>
        <v>0</v>
      </c>
      <c r="F35" s="56">
        <v>0</v>
      </c>
      <c r="G35" s="64">
        <f t="shared" si="5"/>
        <v>0</v>
      </c>
      <c r="H35" s="56">
        <v>9955401.26</v>
      </c>
      <c r="I35" s="64">
        <f t="shared" si="0"/>
        <v>5.310906930840962</v>
      </c>
      <c r="J35" s="56">
        <f>16957718-H35-F35-D35</f>
        <v>7002316.74</v>
      </c>
      <c r="K35" s="64">
        <f t="shared" si="6"/>
        <v>3.7355252224569493</v>
      </c>
      <c r="L35" s="56">
        <f t="shared" si="7"/>
        <v>16957718</v>
      </c>
      <c r="M35" s="64">
        <f t="shared" si="1"/>
        <v>3.7355252224569493</v>
      </c>
      <c r="N35" s="56">
        <v>119770000</v>
      </c>
      <c r="O35" s="65">
        <v>0</v>
      </c>
      <c r="P35" s="64">
        <f t="shared" si="8"/>
        <v>0</v>
      </c>
      <c r="Q35" s="65">
        <v>0</v>
      </c>
      <c r="R35" s="64">
        <f t="shared" si="9"/>
        <v>0</v>
      </c>
      <c r="S35" s="56">
        <v>0</v>
      </c>
      <c r="T35" s="64">
        <f t="shared" si="2"/>
        <v>0</v>
      </c>
      <c r="U35" s="56">
        <v>5924513</v>
      </c>
      <c r="V35" s="64">
        <f t="shared" si="10"/>
        <v>4.946575102279369</v>
      </c>
      <c r="W35" s="56">
        <f t="shared" si="11"/>
        <v>5924513</v>
      </c>
      <c r="X35" s="64">
        <f t="shared" si="3"/>
        <v>4.946575102279369</v>
      </c>
      <c r="Y35" s="28"/>
      <c r="AC35" s="29"/>
    </row>
    <row r="36" spans="1:29" ht="60" customHeight="1">
      <c r="A36" s="71">
        <v>21</v>
      </c>
      <c r="B36" s="58" t="s">
        <v>34</v>
      </c>
      <c r="C36" s="56">
        <v>8013000</v>
      </c>
      <c r="D36" s="56">
        <v>0</v>
      </c>
      <c r="E36" s="64">
        <f t="shared" si="4"/>
        <v>0</v>
      </c>
      <c r="F36" s="56">
        <v>0</v>
      </c>
      <c r="G36" s="64">
        <f t="shared" si="5"/>
        <v>0</v>
      </c>
      <c r="H36" s="56">
        <v>0</v>
      </c>
      <c r="I36" s="64">
        <f t="shared" si="0"/>
        <v>0</v>
      </c>
      <c r="J36" s="56">
        <f>0-H36-F36-D36</f>
        <v>0</v>
      </c>
      <c r="K36" s="64">
        <f t="shared" si="6"/>
        <v>0</v>
      </c>
      <c r="L36" s="56">
        <f t="shared" si="7"/>
        <v>0</v>
      </c>
      <c r="M36" s="64">
        <f t="shared" si="1"/>
        <v>0</v>
      </c>
      <c r="N36" s="56">
        <v>4200000</v>
      </c>
      <c r="O36" s="65">
        <v>0</v>
      </c>
      <c r="P36" s="64">
        <f t="shared" si="8"/>
        <v>0</v>
      </c>
      <c r="Q36" s="65">
        <v>0</v>
      </c>
      <c r="R36" s="64">
        <f t="shared" si="9"/>
        <v>0</v>
      </c>
      <c r="S36" s="56">
        <v>0</v>
      </c>
      <c r="T36" s="64">
        <f t="shared" si="2"/>
        <v>0</v>
      </c>
      <c r="U36" s="56">
        <v>0</v>
      </c>
      <c r="V36" s="64">
        <f t="shared" si="10"/>
        <v>0</v>
      </c>
      <c r="W36" s="56">
        <f t="shared" si="11"/>
        <v>0</v>
      </c>
      <c r="X36" s="64">
        <f t="shared" si="3"/>
        <v>0</v>
      </c>
      <c r="Y36" s="28"/>
      <c r="AC36" s="29"/>
    </row>
    <row r="37" spans="1:29" ht="60" customHeight="1">
      <c r="A37" s="72">
        <v>22</v>
      </c>
      <c r="B37" s="57" t="s">
        <v>35</v>
      </c>
      <c r="C37" s="56">
        <v>12303815000</v>
      </c>
      <c r="D37" s="56">
        <v>971224119.2299999</v>
      </c>
      <c r="E37" s="64">
        <f t="shared" si="4"/>
        <v>7.89368272547986</v>
      </c>
      <c r="F37" s="56">
        <v>990229647</v>
      </c>
      <c r="G37" s="64">
        <f t="shared" si="5"/>
        <v>8.048151301039555</v>
      </c>
      <c r="H37" s="56">
        <v>906989931.6900002</v>
      </c>
      <c r="I37" s="64">
        <f t="shared" si="0"/>
        <v>7.371615484221765</v>
      </c>
      <c r="J37" s="56">
        <f>3904599518-H37-F37-D37</f>
        <v>1036155820.08</v>
      </c>
      <c r="K37" s="64">
        <f t="shared" si="6"/>
        <v>8.421419048319565</v>
      </c>
      <c r="L37" s="56">
        <f t="shared" si="7"/>
        <v>3904599518</v>
      </c>
      <c r="M37" s="64">
        <f t="shared" si="1"/>
        <v>8.421419048319565</v>
      </c>
      <c r="N37" s="56">
        <v>13436649155</v>
      </c>
      <c r="O37" s="65">
        <v>889668794.15</v>
      </c>
      <c r="P37" s="64">
        <f t="shared" si="8"/>
        <v>6.62121027264405</v>
      </c>
      <c r="Q37" s="65">
        <v>889960151.57</v>
      </c>
      <c r="R37" s="64">
        <f t="shared" si="9"/>
        <v>6.623378651208073</v>
      </c>
      <c r="S37" s="56">
        <v>1184251895.2799997</v>
      </c>
      <c r="T37" s="64">
        <f t="shared" si="2"/>
        <v>8.813595425607431</v>
      </c>
      <c r="U37" s="56">
        <v>1026793599</v>
      </c>
      <c r="V37" s="64">
        <f t="shared" si="10"/>
        <v>7.641738555165839</v>
      </c>
      <c r="W37" s="56">
        <f t="shared" si="11"/>
        <v>3990674440</v>
      </c>
      <c r="X37" s="64">
        <f t="shared" si="3"/>
        <v>29.699922904625396</v>
      </c>
      <c r="Y37" s="28"/>
      <c r="AC37" s="29"/>
    </row>
    <row r="38" spans="1:29" ht="60" customHeight="1">
      <c r="A38" s="72">
        <v>23</v>
      </c>
      <c r="B38" s="57" t="s">
        <v>0</v>
      </c>
      <c r="C38" s="56">
        <v>0</v>
      </c>
      <c r="D38" s="56">
        <v>0</v>
      </c>
      <c r="E38" s="64">
        <v>0</v>
      </c>
      <c r="F38" s="56">
        <v>0</v>
      </c>
      <c r="G38" s="64">
        <v>0</v>
      </c>
      <c r="H38" s="56">
        <v>0</v>
      </c>
      <c r="I38" s="64">
        <v>0</v>
      </c>
      <c r="J38" s="56">
        <v>0</v>
      </c>
      <c r="K38" s="64">
        <v>0</v>
      </c>
      <c r="L38" s="56">
        <f t="shared" si="7"/>
        <v>0</v>
      </c>
      <c r="M38" s="64">
        <v>0</v>
      </c>
      <c r="N38" s="56">
        <v>516000000</v>
      </c>
      <c r="O38" s="65">
        <v>34124931.02</v>
      </c>
      <c r="P38" s="64">
        <f t="shared" si="8"/>
        <v>6.6133587248062025</v>
      </c>
      <c r="Q38" s="65">
        <v>34124931.02</v>
      </c>
      <c r="R38" s="64">
        <f t="shared" si="9"/>
        <v>6.6133587248062025</v>
      </c>
      <c r="S38" s="56">
        <v>34124930.959999986</v>
      </c>
      <c r="T38" s="64">
        <f t="shared" si="2"/>
        <v>6.613358713178292</v>
      </c>
      <c r="U38" s="56">
        <v>45848053.99999999</v>
      </c>
      <c r="V38" s="64">
        <f t="shared" si="10"/>
        <v>8.885281782945736</v>
      </c>
      <c r="W38" s="56">
        <f t="shared" si="11"/>
        <v>148222847</v>
      </c>
      <c r="X38" s="64">
        <f t="shared" si="3"/>
        <v>28.725357945736434</v>
      </c>
      <c r="Y38" s="28"/>
      <c r="AC38" s="29"/>
    </row>
    <row r="39" spans="1:29" ht="60" customHeight="1">
      <c r="A39" s="71">
        <v>24</v>
      </c>
      <c r="B39" s="57" t="s">
        <v>36</v>
      </c>
      <c r="C39" s="56">
        <v>1891766200</v>
      </c>
      <c r="D39" s="56">
        <v>136232619</v>
      </c>
      <c r="E39" s="64">
        <f t="shared" si="4"/>
        <v>7.201345441101548</v>
      </c>
      <c r="F39" s="56">
        <v>151104619</v>
      </c>
      <c r="G39" s="64">
        <f t="shared" si="5"/>
        <v>7.98748909881147</v>
      </c>
      <c r="H39" s="56">
        <v>150131604.29000002</v>
      </c>
      <c r="I39" s="64">
        <f>H39/C39%</f>
        <v>7.936054904141961</v>
      </c>
      <c r="J39" s="56">
        <f>589022281-H39-F39-D39</f>
        <v>151553438.70999998</v>
      </c>
      <c r="K39" s="64">
        <f t="shared" si="6"/>
        <v>8.01121400255486</v>
      </c>
      <c r="L39" s="56">
        <f t="shared" si="7"/>
        <v>589022281</v>
      </c>
      <c r="M39" s="64">
        <f>J39/C39%</f>
        <v>8.01121400255486</v>
      </c>
      <c r="N39" s="56">
        <v>2000000000</v>
      </c>
      <c r="O39" s="65">
        <v>107611472.14</v>
      </c>
      <c r="P39" s="64">
        <f t="shared" si="8"/>
        <v>5.380573607</v>
      </c>
      <c r="Q39" s="65">
        <v>154357943.69</v>
      </c>
      <c r="R39" s="64">
        <f t="shared" si="9"/>
        <v>7.7178971845</v>
      </c>
      <c r="S39" s="56">
        <v>308468538.17</v>
      </c>
      <c r="T39" s="64">
        <f t="shared" si="2"/>
        <v>15.423426908500002</v>
      </c>
      <c r="U39" s="56">
        <v>956249</v>
      </c>
      <c r="V39" s="64">
        <f t="shared" si="10"/>
        <v>0.04781245</v>
      </c>
      <c r="W39" s="56">
        <f t="shared" si="11"/>
        <v>571394203</v>
      </c>
      <c r="X39" s="64">
        <f t="shared" si="3"/>
        <v>28.56971015</v>
      </c>
      <c r="Y39" s="28"/>
      <c r="AC39" s="29"/>
    </row>
    <row r="40" spans="1:29" ht="60" customHeight="1">
      <c r="A40" s="71">
        <v>25</v>
      </c>
      <c r="B40" s="57" t="s">
        <v>2</v>
      </c>
      <c r="C40" s="56">
        <v>1353600000</v>
      </c>
      <c r="D40" s="56">
        <v>78906327</v>
      </c>
      <c r="E40" s="64">
        <f t="shared" si="4"/>
        <v>5.829368129432624</v>
      </c>
      <c r="F40" s="56">
        <v>103548300</v>
      </c>
      <c r="G40" s="64">
        <f t="shared" si="5"/>
        <v>7.649844858156029</v>
      </c>
      <c r="H40" s="56">
        <v>90983524.38999999</v>
      </c>
      <c r="I40" s="64">
        <f>H40/C40%</f>
        <v>6.721596069001181</v>
      </c>
      <c r="J40" s="56">
        <f>367792990-H40-F40-D40</f>
        <v>94354838.61000001</v>
      </c>
      <c r="K40" s="64">
        <f t="shared" si="6"/>
        <v>6.970658880762413</v>
      </c>
      <c r="L40" s="56">
        <f t="shared" si="7"/>
        <v>367792990</v>
      </c>
      <c r="M40" s="64">
        <f>J40/C40%</f>
        <v>6.970658880762413</v>
      </c>
      <c r="N40" s="56">
        <v>1680000000</v>
      </c>
      <c r="O40" s="65">
        <v>87142336.75000001</v>
      </c>
      <c r="P40" s="64">
        <f t="shared" si="8"/>
        <v>5.187043854166667</v>
      </c>
      <c r="Q40" s="65">
        <v>109103628.3</v>
      </c>
      <c r="R40" s="64">
        <f t="shared" si="9"/>
        <v>6.494263589285714</v>
      </c>
      <c r="S40" s="56">
        <v>110041022.95</v>
      </c>
      <c r="T40" s="64">
        <f t="shared" si="2"/>
        <v>6.550060889880952</v>
      </c>
      <c r="U40" s="56">
        <v>119006831.99999999</v>
      </c>
      <c r="V40" s="64">
        <f t="shared" si="10"/>
        <v>7.083739999999999</v>
      </c>
      <c r="W40" s="56">
        <f t="shared" si="11"/>
        <v>425293820</v>
      </c>
      <c r="X40" s="64">
        <f t="shared" si="3"/>
        <v>25.315108333333335</v>
      </c>
      <c r="Y40" s="28"/>
      <c r="AC40" s="29"/>
    </row>
    <row r="41" spans="1:29" ht="60" customHeight="1">
      <c r="A41" s="71">
        <v>26</v>
      </c>
      <c r="B41" s="57" t="s">
        <v>1</v>
      </c>
      <c r="C41" s="56">
        <v>0</v>
      </c>
      <c r="D41" s="56">
        <v>0</v>
      </c>
      <c r="E41" s="64">
        <v>0</v>
      </c>
      <c r="F41" s="56">
        <v>0</v>
      </c>
      <c r="G41" s="64">
        <v>0</v>
      </c>
      <c r="H41" s="56">
        <v>0</v>
      </c>
      <c r="I41" s="64">
        <v>0</v>
      </c>
      <c r="J41" s="56">
        <f>0-H41-F41-D41</f>
        <v>0</v>
      </c>
      <c r="K41" s="64">
        <v>0</v>
      </c>
      <c r="L41" s="56">
        <f t="shared" si="7"/>
        <v>0</v>
      </c>
      <c r="M41" s="64">
        <v>0</v>
      </c>
      <c r="N41" s="56">
        <v>50000000</v>
      </c>
      <c r="O41" s="65">
        <v>0</v>
      </c>
      <c r="P41" s="64">
        <f t="shared" si="8"/>
        <v>0</v>
      </c>
      <c r="Q41" s="65">
        <v>0</v>
      </c>
      <c r="R41" s="64">
        <f t="shared" si="9"/>
        <v>0</v>
      </c>
      <c r="S41" s="56">
        <v>0</v>
      </c>
      <c r="T41" s="64">
        <f t="shared" si="2"/>
        <v>0</v>
      </c>
      <c r="U41" s="56">
        <v>15669369</v>
      </c>
      <c r="V41" s="64">
        <f t="shared" si="10"/>
        <v>31.338738</v>
      </c>
      <c r="W41" s="56">
        <f t="shared" si="11"/>
        <v>15669369</v>
      </c>
      <c r="X41" s="64">
        <f t="shared" si="3"/>
        <v>31.338738</v>
      </c>
      <c r="Y41" s="28"/>
      <c r="AC41" s="29"/>
    </row>
    <row r="42" spans="1:29" ht="60" customHeight="1">
      <c r="A42" s="72">
        <v>27</v>
      </c>
      <c r="B42" s="57" t="s">
        <v>37</v>
      </c>
      <c r="C42" s="56">
        <v>6953000</v>
      </c>
      <c r="D42" s="56">
        <v>0</v>
      </c>
      <c r="E42" s="64">
        <f t="shared" si="4"/>
        <v>0</v>
      </c>
      <c r="F42" s="56">
        <v>0</v>
      </c>
      <c r="G42" s="64">
        <f t="shared" si="5"/>
        <v>0</v>
      </c>
      <c r="H42" s="56">
        <v>0</v>
      </c>
      <c r="I42" s="64">
        <f aca="true" t="shared" si="12" ref="I42:I82">H42/C42%</f>
        <v>0</v>
      </c>
      <c r="J42" s="56">
        <f>0-H42-F42-D42</f>
        <v>0</v>
      </c>
      <c r="K42" s="64">
        <f t="shared" si="6"/>
        <v>0</v>
      </c>
      <c r="L42" s="56">
        <f t="shared" si="7"/>
        <v>0</v>
      </c>
      <c r="M42" s="64">
        <f aca="true" t="shared" si="13" ref="M42:M82">J42/C42%</f>
        <v>0</v>
      </c>
      <c r="N42" s="56">
        <v>8910000</v>
      </c>
      <c r="O42" s="65">
        <v>0</v>
      </c>
      <c r="P42" s="64">
        <f t="shared" si="8"/>
        <v>0</v>
      </c>
      <c r="Q42" s="65">
        <v>0</v>
      </c>
      <c r="R42" s="64">
        <f t="shared" si="9"/>
        <v>0</v>
      </c>
      <c r="S42" s="56">
        <v>0</v>
      </c>
      <c r="T42" s="64">
        <f t="shared" si="2"/>
        <v>0</v>
      </c>
      <c r="U42" s="56">
        <v>0</v>
      </c>
      <c r="V42" s="64">
        <f t="shared" si="10"/>
        <v>0</v>
      </c>
      <c r="W42" s="56">
        <f t="shared" si="11"/>
        <v>0</v>
      </c>
      <c r="X42" s="64">
        <f t="shared" si="3"/>
        <v>0</v>
      </c>
      <c r="Y42" s="28"/>
      <c r="AC42" s="29"/>
    </row>
    <row r="43" spans="1:29" ht="60" customHeight="1">
      <c r="A43" s="71">
        <v>28</v>
      </c>
      <c r="B43" s="57" t="s">
        <v>38</v>
      </c>
      <c r="C43" s="56">
        <v>80000000</v>
      </c>
      <c r="D43" s="56">
        <v>2677359</v>
      </c>
      <c r="E43" s="64">
        <f t="shared" si="4"/>
        <v>3.34669875</v>
      </c>
      <c r="F43" s="56">
        <v>7188901</v>
      </c>
      <c r="G43" s="64">
        <f t="shared" si="5"/>
        <v>8.98612625</v>
      </c>
      <c r="H43" s="56">
        <v>2918346.79</v>
      </c>
      <c r="I43" s="64">
        <f t="shared" si="12"/>
        <v>3.6479334875</v>
      </c>
      <c r="J43" s="56">
        <f>16322995-H43-F43-D43</f>
        <v>3538388.210000001</v>
      </c>
      <c r="K43" s="64">
        <f t="shared" si="6"/>
        <v>4.422985262500001</v>
      </c>
      <c r="L43" s="56">
        <f t="shared" si="7"/>
        <v>16322995</v>
      </c>
      <c r="M43" s="64">
        <f t="shared" si="13"/>
        <v>4.422985262500001</v>
      </c>
      <c r="N43" s="56">
        <v>81320000</v>
      </c>
      <c r="O43" s="65">
        <v>3843608.35</v>
      </c>
      <c r="P43" s="64">
        <f t="shared" si="8"/>
        <v>4.726522811116577</v>
      </c>
      <c r="Q43" s="65">
        <v>5873696.939999998</v>
      </c>
      <c r="R43" s="64">
        <f t="shared" si="9"/>
        <v>7.222942621741266</v>
      </c>
      <c r="S43" s="56">
        <v>11795734.71</v>
      </c>
      <c r="T43" s="64">
        <f t="shared" si="2"/>
        <v>14.505330435317266</v>
      </c>
      <c r="U43" s="56">
        <v>6701207</v>
      </c>
      <c r="V43" s="64">
        <f t="shared" si="10"/>
        <v>8.240539842597148</v>
      </c>
      <c r="W43" s="56">
        <f t="shared" si="11"/>
        <v>28214247</v>
      </c>
      <c r="X43" s="64">
        <f t="shared" si="3"/>
        <v>34.695335710772255</v>
      </c>
      <c r="Y43" s="28"/>
      <c r="AC43" s="29"/>
    </row>
    <row r="44" spans="1:29" ht="60" customHeight="1">
      <c r="A44" s="71">
        <v>29</v>
      </c>
      <c r="B44" s="57" t="s">
        <v>39</v>
      </c>
      <c r="C44" s="56">
        <v>172461000</v>
      </c>
      <c r="D44" s="56">
        <v>9147566</v>
      </c>
      <c r="E44" s="64">
        <f t="shared" si="4"/>
        <v>5.30413600756113</v>
      </c>
      <c r="F44" s="56">
        <v>14323496</v>
      </c>
      <c r="G44" s="64">
        <f t="shared" si="5"/>
        <v>8.305353674164014</v>
      </c>
      <c r="H44" s="56">
        <v>12645838.07</v>
      </c>
      <c r="I44" s="64">
        <f t="shared" si="12"/>
        <v>7.332578420628432</v>
      </c>
      <c r="J44" s="56">
        <f>50388590-H44-F44-D44</f>
        <v>14271689.93</v>
      </c>
      <c r="K44" s="64">
        <f t="shared" si="6"/>
        <v>8.275314378323214</v>
      </c>
      <c r="L44" s="56">
        <f t="shared" si="7"/>
        <v>50388590</v>
      </c>
      <c r="M44" s="64">
        <f t="shared" si="13"/>
        <v>8.275314378323214</v>
      </c>
      <c r="N44" s="56">
        <v>176800000</v>
      </c>
      <c r="O44" s="65">
        <v>10800109.5</v>
      </c>
      <c r="P44" s="64">
        <f t="shared" si="8"/>
        <v>6.108659219457014</v>
      </c>
      <c r="Q44" s="65">
        <v>14347845.21</v>
      </c>
      <c r="R44" s="64">
        <f t="shared" si="9"/>
        <v>8.11529706447964</v>
      </c>
      <c r="S44" s="56">
        <v>27945310.29</v>
      </c>
      <c r="T44" s="64">
        <f t="shared" si="2"/>
        <v>15.806170978506787</v>
      </c>
      <c r="U44" s="56">
        <v>0</v>
      </c>
      <c r="V44" s="64">
        <f t="shared" si="10"/>
        <v>0</v>
      </c>
      <c r="W44" s="56">
        <f t="shared" si="11"/>
        <v>53093265</v>
      </c>
      <c r="X44" s="64">
        <f t="shared" si="3"/>
        <v>30.03012726244344</v>
      </c>
      <c r="Y44" s="28"/>
      <c r="AC44" s="29"/>
    </row>
    <row r="45" spans="1:29" ht="60" customHeight="1">
      <c r="A45" s="72">
        <v>30</v>
      </c>
      <c r="B45" s="57" t="s">
        <v>40</v>
      </c>
      <c r="C45" s="56">
        <v>539739000</v>
      </c>
      <c r="D45" s="56">
        <v>336478.77</v>
      </c>
      <c r="E45" s="64">
        <f t="shared" si="4"/>
        <v>0.062341014823831524</v>
      </c>
      <c r="F45" s="56">
        <v>59253338</v>
      </c>
      <c r="G45" s="64">
        <f t="shared" si="5"/>
        <v>10.978146474499711</v>
      </c>
      <c r="H45" s="56">
        <v>37097417.980000004</v>
      </c>
      <c r="I45" s="64">
        <f t="shared" si="12"/>
        <v>6.873214272083359</v>
      </c>
      <c r="J45" s="56">
        <f>132464639-H45-F45-D45</f>
        <v>35777404.24999999</v>
      </c>
      <c r="K45" s="64">
        <f t="shared" si="6"/>
        <v>6.628649078536106</v>
      </c>
      <c r="L45" s="56">
        <f t="shared" si="7"/>
        <v>132464639</v>
      </c>
      <c r="M45" s="64">
        <f t="shared" si="13"/>
        <v>6.628649078536106</v>
      </c>
      <c r="N45" s="56">
        <v>551688000</v>
      </c>
      <c r="O45" s="65">
        <v>0</v>
      </c>
      <c r="P45" s="64">
        <f t="shared" si="8"/>
        <v>0</v>
      </c>
      <c r="Q45" s="65">
        <v>57083637.14</v>
      </c>
      <c r="R45" s="64">
        <f t="shared" si="9"/>
        <v>10.347086965821262</v>
      </c>
      <c r="S45" s="56">
        <v>19428091.86</v>
      </c>
      <c r="T45" s="64">
        <f t="shared" si="2"/>
        <v>3.5215723126114757</v>
      </c>
      <c r="U45" s="56">
        <v>87028992</v>
      </c>
      <c r="V45" s="64">
        <f t="shared" si="10"/>
        <v>15.775038064993257</v>
      </c>
      <c r="W45" s="56">
        <f t="shared" si="11"/>
        <v>163540721</v>
      </c>
      <c r="X45" s="64">
        <f t="shared" si="3"/>
        <v>29.643697343425995</v>
      </c>
      <c r="Y45" s="28"/>
      <c r="AC45" s="29"/>
    </row>
    <row r="46" spans="1:29" ht="60" customHeight="1">
      <c r="A46" s="71">
        <v>31</v>
      </c>
      <c r="B46" s="57" t="s">
        <v>56</v>
      </c>
      <c r="C46" s="56">
        <v>615000000</v>
      </c>
      <c r="D46" s="56">
        <v>60780490.07</v>
      </c>
      <c r="E46" s="64">
        <f t="shared" si="4"/>
        <v>9.883006515447155</v>
      </c>
      <c r="F46" s="65">
        <v>-8287652</v>
      </c>
      <c r="G46" s="64">
        <f t="shared" si="5"/>
        <v>-1.3475856910569106</v>
      </c>
      <c r="H46" s="56">
        <v>28836219.270000003</v>
      </c>
      <c r="I46" s="64">
        <f t="shared" si="12"/>
        <v>4.688816141463415</v>
      </c>
      <c r="J46" s="56">
        <f>155336142-H46-F46-D46</f>
        <v>74007084.66</v>
      </c>
      <c r="K46" s="64">
        <f t="shared" si="6"/>
        <v>12.033672302439024</v>
      </c>
      <c r="L46" s="56">
        <f t="shared" si="7"/>
        <v>155336142</v>
      </c>
      <c r="M46" s="64">
        <f t="shared" si="13"/>
        <v>12.033672302439024</v>
      </c>
      <c r="N46" s="56">
        <v>516000000</v>
      </c>
      <c r="O46" s="65">
        <v>0</v>
      </c>
      <c r="P46" s="64">
        <f t="shared" si="8"/>
        <v>0</v>
      </c>
      <c r="Q46" s="65">
        <v>5200815.4</v>
      </c>
      <c r="R46" s="64">
        <f t="shared" si="9"/>
        <v>1.0079099612403102</v>
      </c>
      <c r="S46" s="56">
        <v>64246607.6</v>
      </c>
      <c r="T46" s="64">
        <f t="shared" si="2"/>
        <v>12.450892945736435</v>
      </c>
      <c r="U46" s="56">
        <v>55671014.99999999</v>
      </c>
      <c r="V46" s="64">
        <f t="shared" si="10"/>
        <v>10.788956395348835</v>
      </c>
      <c r="W46" s="56">
        <f t="shared" si="11"/>
        <v>125118438</v>
      </c>
      <c r="X46" s="64">
        <f t="shared" si="3"/>
        <v>24.24775930232558</v>
      </c>
      <c r="Y46" s="28"/>
      <c r="AC46" s="29"/>
    </row>
    <row r="47" spans="1:29" ht="60" customHeight="1">
      <c r="A47" s="71">
        <v>32</v>
      </c>
      <c r="B47" s="57" t="s">
        <v>57</v>
      </c>
      <c r="C47" s="56">
        <v>26772000</v>
      </c>
      <c r="D47" s="56">
        <v>0</v>
      </c>
      <c r="E47" s="64">
        <f t="shared" si="4"/>
        <v>0</v>
      </c>
      <c r="F47" s="56">
        <v>4381167</v>
      </c>
      <c r="G47" s="64">
        <f t="shared" si="5"/>
        <v>16.364735544598833</v>
      </c>
      <c r="H47" s="56">
        <v>2190582.99</v>
      </c>
      <c r="I47" s="64">
        <f t="shared" si="12"/>
        <v>8.182365867324071</v>
      </c>
      <c r="J47" s="56">
        <f>8762333-H47-F47-D47</f>
        <v>2190583.01</v>
      </c>
      <c r="K47" s="64">
        <f t="shared" si="6"/>
        <v>8.182365942028985</v>
      </c>
      <c r="L47" s="56">
        <f t="shared" si="7"/>
        <v>8762333</v>
      </c>
      <c r="M47" s="64">
        <f t="shared" si="13"/>
        <v>8.182365942028985</v>
      </c>
      <c r="N47" s="56">
        <v>35175000</v>
      </c>
      <c r="O47" s="65">
        <v>0</v>
      </c>
      <c r="P47" s="64">
        <f t="shared" si="8"/>
        <v>0</v>
      </c>
      <c r="Q47" s="65">
        <v>5738500</v>
      </c>
      <c r="R47" s="64">
        <f t="shared" si="9"/>
        <v>16.31414356787491</v>
      </c>
      <c r="S47" s="56">
        <v>2869250</v>
      </c>
      <c r="T47" s="64">
        <f t="shared" si="2"/>
        <v>8.157071783937456</v>
      </c>
      <c r="U47" s="56">
        <v>2869250</v>
      </c>
      <c r="V47" s="64">
        <f t="shared" si="10"/>
        <v>8.157071783937456</v>
      </c>
      <c r="W47" s="56">
        <f t="shared" si="11"/>
        <v>11477000</v>
      </c>
      <c r="X47" s="64">
        <f t="shared" si="3"/>
        <v>32.62828713574982</v>
      </c>
      <c r="Y47" s="28"/>
      <c r="AC47" s="29"/>
    </row>
    <row r="48" spans="1:29" ht="60" customHeight="1">
      <c r="A48" s="72">
        <v>33</v>
      </c>
      <c r="B48" s="57" t="s">
        <v>58</v>
      </c>
      <c r="C48" s="56">
        <v>173033125</v>
      </c>
      <c r="D48" s="56">
        <v>125254.22</v>
      </c>
      <c r="E48" s="64">
        <f t="shared" si="4"/>
        <v>0.07238742292841327</v>
      </c>
      <c r="F48" s="56">
        <v>859233</v>
      </c>
      <c r="G48" s="64">
        <f t="shared" si="5"/>
        <v>0.49657139348318424</v>
      </c>
      <c r="H48" s="56">
        <v>2306231.92</v>
      </c>
      <c r="I48" s="64">
        <f t="shared" si="12"/>
        <v>1.332826833012465</v>
      </c>
      <c r="J48" s="56">
        <f>4326821-H48-F48-D48</f>
        <v>1036101.8600000001</v>
      </c>
      <c r="K48" s="64">
        <f t="shared" si="6"/>
        <v>0.5987881568919247</v>
      </c>
      <c r="L48" s="56">
        <f t="shared" si="7"/>
        <v>4326821</v>
      </c>
      <c r="M48" s="64">
        <f t="shared" si="13"/>
        <v>0.5987881568919247</v>
      </c>
      <c r="N48" s="56">
        <v>118049367</v>
      </c>
      <c r="O48" s="65">
        <v>0</v>
      </c>
      <c r="P48" s="64">
        <f t="shared" si="8"/>
        <v>0</v>
      </c>
      <c r="Q48" s="65">
        <v>560000</v>
      </c>
      <c r="R48" s="64">
        <f t="shared" si="9"/>
        <v>0.47437780839604166</v>
      </c>
      <c r="S48" s="56">
        <v>0</v>
      </c>
      <c r="T48" s="64">
        <f aca="true" t="shared" si="14" ref="T48:T65">S48/N48%</f>
        <v>0</v>
      </c>
      <c r="U48" s="56">
        <v>1500838</v>
      </c>
      <c r="V48" s="64">
        <f t="shared" si="10"/>
        <v>1.2713647164241042</v>
      </c>
      <c r="W48" s="56">
        <f t="shared" si="11"/>
        <v>2060838</v>
      </c>
      <c r="X48" s="64">
        <f aca="true" t="shared" si="15" ref="X48:X65">W48/N48%</f>
        <v>1.745742524820146</v>
      </c>
      <c r="Y48" s="28"/>
      <c r="AC48" s="29"/>
    </row>
    <row r="49" spans="1:29" ht="60" customHeight="1">
      <c r="A49" s="71">
        <v>34</v>
      </c>
      <c r="B49" s="57" t="s">
        <v>59</v>
      </c>
      <c r="C49" s="56">
        <v>328009875</v>
      </c>
      <c r="D49" s="56">
        <v>0</v>
      </c>
      <c r="E49" s="64">
        <f t="shared" si="4"/>
        <v>0</v>
      </c>
      <c r="F49" s="56">
        <v>447987</v>
      </c>
      <c r="G49" s="64">
        <f t="shared" si="5"/>
        <v>0.13657729054651174</v>
      </c>
      <c r="H49" s="56">
        <v>3309275.84</v>
      </c>
      <c r="I49" s="64">
        <f t="shared" si="12"/>
        <v>1.0088951864635172</v>
      </c>
      <c r="J49" s="56">
        <f>27485510-H49-F49-D49</f>
        <v>23728247.16</v>
      </c>
      <c r="K49" s="64">
        <f t="shared" si="6"/>
        <v>7.23400390308371</v>
      </c>
      <c r="L49" s="56">
        <f t="shared" si="7"/>
        <v>27485510</v>
      </c>
      <c r="M49" s="64">
        <f t="shared" si="13"/>
        <v>7.23400390308371</v>
      </c>
      <c r="N49" s="56">
        <v>97000000</v>
      </c>
      <c r="O49" s="65">
        <v>0</v>
      </c>
      <c r="P49" s="64">
        <f t="shared" si="8"/>
        <v>0</v>
      </c>
      <c r="Q49" s="65">
        <v>0</v>
      </c>
      <c r="R49" s="64">
        <f t="shared" si="9"/>
        <v>0</v>
      </c>
      <c r="S49" s="56">
        <v>30381</v>
      </c>
      <c r="T49" s="64">
        <f t="shared" si="14"/>
        <v>0.031320618556701034</v>
      </c>
      <c r="U49" s="56">
        <v>6533451</v>
      </c>
      <c r="V49" s="64">
        <f t="shared" si="10"/>
        <v>6.735516494845361</v>
      </c>
      <c r="W49" s="56">
        <f t="shared" si="11"/>
        <v>6563832</v>
      </c>
      <c r="X49" s="64">
        <f t="shared" si="15"/>
        <v>6.766837113402062</v>
      </c>
      <c r="Y49" s="28"/>
      <c r="AC49" s="29"/>
    </row>
    <row r="50" spans="1:29" ht="60" customHeight="1">
      <c r="A50" s="71">
        <v>35</v>
      </c>
      <c r="B50" s="57" t="s">
        <v>60</v>
      </c>
      <c r="C50" s="56">
        <v>94140492</v>
      </c>
      <c r="D50" s="56">
        <v>5381750.79</v>
      </c>
      <c r="E50" s="64">
        <f t="shared" si="4"/>
        <v>5.716722608588023</v>
      </c>
      <c r="F50" s="56">
        <v>8160388</v>
      </c>
      <c r="G50" s="64">
        <f t="shared" si="5"/>
        <v>8.668308213218175</v>
      </c>
      <c r="H50" s="56">
        <v>8233918.970000002</v>
      </c>
      <c r="I50" s="64">
        <f t="shared" si="12"/>
        <v>8.746415909957218</v>
      </c>
      <c r="J50" s="56">
        <f>29515358-H50-F50-D50</f>
        <v>7739300.239999997</v>
      </c>
      <c r="K50" s="64">
        <f t="shared" si="6"/>
        <v>8.221011039542896</v>
      </c>
      <c r="L50" s="56">
        <f t="shared" si="7"/>
        <v>29515358</v>
      </c>
      <c r="M50" s="64">
        <f t="shared" si="13"/>
        <v>8.221011039542896</v>
      </c>
      <c r="N50" s="56">
        <v>96650000</v>
      </c>
      <c r="O50" s="65">
        <v>7318547.49</v>
      </c>
      <c r="P50" s="64">
        <f t="shared" si="8"/>
        <v>7.572216751163994</v>
      </c>
      <c r="Q50" s="65">
        <v>7589207.52</v>
      </c>
      <c r="R50" s="64">
        <f t="shared" si="9"/>
        <v>7.852258168649767</v>
      </c>
      <c r="S50" s="56">
        <v>7624890.99</v>
      </c>
      <c r="T50" s="64">
        <f t="shared" si="14"/>
        <v>7.8891784687015</v>
      </c>
      <c r="U50" s="56">
        <v>7763148.999999998</v>
      </c>
      <c r="V50" s="64">
        <f t="shared" si="10"/>
        <v>8.03222866011381</v>
      </c>
      <c r="W50" s="56">
        <f t="shared" si="11"/>
        <v>30295795</v>
      </c>
      <c r="X50" s="64">
        <f t="shared" si="15"/>
        <v>31.345882048629075</v>
      </c>
      <c r="Y50" s="28"/>
      <c r="AC50" s="29"/>
    </row>
    <row r="51" spans="1:29" ht="60" customHeight="1">
      <c r="A51" s="72">
        <v>36</v>
      </c>
      <c r="B51" s="57" t="s">
        <v>61</v>
      </c>
      <c r="C51" s="56">
        <v>110000000</v>
      </c>
      <c r="D51" s="56">
        <v>0</v>
      </c>
      <c r="E51" s="64">
        <f t="shared" si="4"/>
        <v>0</v>
      </c>
      <c r="F51" s="56">
        <v>5120106</v>
      </c>
      <c r="G51" s="64">
        <f t="shared" si="5"/>
        <v>4.654641818181818</v>
      </c>
      <c r="H51" s="56">
        <v>7935840.24</v>
      </c>
      <c r="I51" s="64">
        <f t="shared" si="12"/>
        <v>7.214400218181819</v>
      </c>
      <c r="J51" s="56">
        <f>20975121-H51-F51-D51</f>
        <v>7919174.76</v>
      </c>
      <c r="K51" s="64">
        <f t="shared" si="6"/>
        <v>7.199249781818182</v>
      </c>
      <c r="L51" s="56">
        <f t="shared" si="7"/>
        <v>20975121</v>
      </c>
      <c r="M51" s="64">
        <f t="shared" si="13"/>
        <v>7.199249781818182</v>
      </c>
      <c r="N51" s="56">
        <v>108000000</v>
      </c>
      <c r="O51" s="65">
        <v>0</v>
      </c>
      <c r="P51" s="64">
        <f t="shared" si="8"/>
        <v>0</v>
      </c>
      <c r="Q51" s="65">
        <v>8980536.17</v>
      </c>
      <c r="R51" s="64">
        <f t="shared" si="9"/>
        <v>8.315311268518519</v>
      </c>
      <c r="S51" s="56">
        <v>8937668.83</v>
      </c>
      <c r="T51" s="64">
        <f t="shared" si="14"/>
        <v>8.275619287037037</v>
      </c>
      <c r="U51" s="56">
        <v>8904569.999999998</v>
      </c>
      <c r="V51" s="64">
        <f t="shared" si="10"/>
        <v>8.24497222222222</v>
      </c>
      <c r="W51" s="56">
        <f t="shared" si="11"/>
        <v>26822775</v>
      </c>
      <c r="X51" s="64">
        <f t="shared" si="15"/>
        <v>24.83590277777778</v>
      </c>
      <c r="Y51" s="28"/>
      <c r="AC51" s="29"/>
    </row>
    <row r="52" spans="1:29" ht="60" customHeight="1">
      <c r="A52" s="71">
        <v>37</v>
      </c>
      <c r="B52" s="57" t="s">
        <v>62</v>
      </c>
      <c r="C52" s="56">
        <v>653627352</v>
      </c>
      <c r="D52" s="56">
        <v>0</v>
      </c>
      <c r="E52" s="64">
        <f t="shared" si="4"/>
        <v>0</v>
      </c>
      <c r="F52" s="56">
        <v>0</v>
      </c>
      <c r="G52" s="64">
        <f t="shared" si="5"/>
        <v>0</v>
      </c>
      <c r="H52" s="56">
        <v>0</v>
      </c>
      <c r="I52" s="64">
        <f t="shared" si="12"/>
        <v>0</v>
      </c>
      <c r="J52" s="56">
        <f>0-H52-F52-D52</f>
        <v>0</v>
      </c>
      <c r="K52" s="64">
        <f t="shared" si="6"/>
        <v>0</v>
      </c>
      <c r="L52" s="56">
        <f t="shared" si="7"/>
        <v>0</v>
      </c>
      <c r="M52" s="64">
        <f t="shared" si="13"/>
        <v>0</v>
      </c>
      <c r="N52" s="56">
        <v>906348525</v>
      </c>
      <c r="O52" s="65">
        <v>0</v>
      </c>
      <c r="P52" s="64">
        <f t="shared" si="8"/>
        <v>0</v>
      </c>
      <c r="Q52" s="65">
        <v>0</v>
      </c>
      <c r="R52" s="64">
        <f t="shared" si="9"/>
        <v>0</v>
      </c>
      <c r="S52" s="56">
        <v>0</v>
      </c>
      <c r="T52" s="64">
        <f t="shared" si="14"/>
        <v>0</v>
      </c>
      <c r="U52" s="56">
        <v>0</v>
      </c>
      <c r="V52" s="64">
        <f t="shared" si="10"/>
        <v>0</v>
      </c>
      <c r="W52" s="56">
        <f t="shared" si="11"/>
        <v>0</v>
      </c>
      <c r="X52" s="64">
        <f t="shared" si="15"/>
        <v>0</v>
      </c>
      <c r="Y52" s="28"/>
      <c r="AC52" s="29"/>
    </row>
    <row r="53" spans="1:29" ht="64.5" customHeight="1">
      <c r="A53" s="70">
        <v>38</v>
      </c>
      <c r="B53" s="60" t="s">
        <v>63</v>
      </c>
      <c r="C53" s="60">
        <f>SUM(C54:C58)</f>
        <v>149215012</v>
      </c>
      <c r="D53" s="60">
        <f>SUM(D54:D58)</f>
        <v>1046582.5599999999</v>
      </c>
      <c r="E53" s="66">
        <f aca="true" t="shared" si="16" ref="E53:E59">D53/C53%</f>
        <v>0.7013922701021529</v>
      </c>
      <c r="F53" s="60">
        <f>SUM(F54:F58)</f>
        <v>6123778</v>
      </c>
      <c r="G53" s="62">
        <f aca="true" t="shared" si="17" ref="G53:G59">F53/C53%</f>
        <v>4.103995916979184</v>
      </c>
      <c r="H53" s="60">
        <f>SUM(H54:H58)</f>
        <v>8598247.719999999</v>
      </c>
      <c r="I53" s="62">
        <f t="shared" si="12"/>
        <v>5.762320831365143</v>
      </c>
      <c r="J53" s="60">
        <f>SUM(J54:J58)</f>
        <v>9888328.720000003</v>
      </c>
      <c r="K53" s="62">
        <f aca="true" t="shared" si="18" ref="K53:K59">J53/C53%</f>
        <v>6.626899389988992</v>
      </c>
      <c r="L53" s="60">
        <f>SUM(L54:L58)</f>
        <v>25656937</v>
      </c>
      <c r="M53" s="62">
        <f t="shared" si="13"/>
        <v>6.626899389988992</v>
      </c>
      <c r="N53" s="60">
        <f>SUM(N54:N58)</f>
        <v>127110000</v>
      </c>
      <c r="O53" s="63">
        <f>SUM(O54:O58)</f>
        <v>1934525.07</v>
      </c>
      <c r="P53" s="62">
        <f aca="true" t="shared" si="19" ref="P53:P59">O53/N53%</f>
        <v>1.521929879631815</v>
      </c>
      <c r="Q53" s="63">
        <f>SUM(Q54:Q58)</f>
        <v>3634565.33</v>
      </c>
      <c r="R53" s="62">
        <f aca="true" t="shared" si="20" ref="R53:R59">Q53/N53%</f>
        <v>2.859385831169853</v>
      </c>
      <c r="S53" s="60">
        <f>SUM(S54:S58)</f>
        <v>7534589.6</v>
      </c>
      <c r="T53" s="62">
        <f t="shared" si="14"/>
        <v>5.927613563055621</v>
      </c>
      <c r="U53" s="60">
        <f>SUM(U54:U58)</f>
        <v>14182137</v>
      </c>
      <c r="V53" s="62">
        <f aca="true" t="shared" si="21" ref="V53:V59">U53/N53%</f>
        <v>11.157373141373613</v>
      </c>
      <c r="W53" s="60">
        <f>SUM(W54:W58)</f>
        <v>27285817</v>
      </c>
      <c r="X53" s="62">
        <f t="shared" si="15"/>
        <v>21.466302415230903</v>
      </c>
      <c r="Y53" s="28"/>
      <c r="AC53" s="29"/>
    </row>
    <row r="54" spans="1:29" ht="60" customHeight="1">
      <c r="A54" s="72">
        <v>39</v>
      </c>
      <c r="B54" s="57" t="s">
        <v>23</v>
      </c>
      <c r="C54" s="56">
        <v>38830012</v>
      </c>
      <c r="D54" s="56">
        <v>333193.42</v>
      </c>
      <c r="E54" s="64">
        <f t="shared" si="16"/>
        <v>0.8580821968326973</v>
      </c>
      <c r="F54" s="56">
        <v>1289510</v>
      </c>
      <c r="G54" s="64">
        <f t="shared" si="17"/>
        <v>3.3209106399452053</v>
      </c>
      <c r="H54" s="56">
        <v>2553769.77</v>
      </c>
      <c r="I54" s="64">
        <f t="shared" si="12"/>
        <v>6.576793666713263</v>
      </c>
      <c r="J54" s="56">
        <f>7337902-H54-F54-D54</f>
        <v>3161428.8100000005</v>
      </c>
      <c r="K54" s="64">
        <f t="shared" si="18"/>
        <v>8.141714738589318</v>
      </c>
      <c r="L54" s="56">
        <f>D54+F54+H54+J54</f>
        <v>7337902</v>
      </c>
      <c r="M54" s="64">
        <f t="shared" si="13"/>
        <v>8.141714738589318</v>
      </c>
      <c r="N54" s="56">
        <v>43168000</v>
      </c>
      <c r="O54" s="65">
        <v>1114654.8</v>
      </c>
      <c r="P54" s="64">
        <f t="shared" si="19"/>
        <v>2.582132134914752</v>
      </c>
      <c r="Q54" s="65">
        <v>1858122.69</v>
      </c>
      <c r="R54" s="64">
        <f t="shared" si="20"/>
        <v>4.3043983737954035</v>
      </c>
      <c r="S54" s="56">
        <v>2751987.51</v>
      </c>
      <c r="T54" s="64">
        <f t="shared" si="14"/>
        <v>6.3750637277613045</v>
      </c>
      <c r="U54" s="56">
        <v>7453271</v>
      </c>
      <c r="V54" s="64">
        <f t="shared" si="21"/>
        <v>17.265731560415123</v>
      </c>
      <c r="W54" s="56">
        <f>O54+Q54+S54+U54</f>
        <v>13178036</v>
      </c>
      <c r="X54" s="64">
        <f t="shared" si="15"/>
        <v>30.527325796886583</v>
      </c>
      <c r="Y54" s="28"/>
      <c r="AC54" s="29"/>
    </row>
    <row r="55" spans="1:29" ht="60" customHeight="1">
      <c r="A55" s="71">
        <v>40</v>
      </c>
      <c r="B55" s="57" t="s">
        <v>64</v>
      </c>
      <c r="C55" s="56">
        <v>96862000</v>
      </c>
      <c r="D55" s="56">
        <v>498693.93</v>
      </c>
      <c r="E55" s="64">
        <f t="shared" si="16"/>
        <v>0.5148499205054614</v>
      </c>
      <c r="F55" s="56">
        <v>4580884</v>
      </c>
      <c r="G55" s="64">
        <f t="shared" si="17"/>
        <v>4.729289091697466</v>
      </c>
      <c r="H55" s="56">
        <v>5192581.31</v>
      </c>
      <c r="I55" s="64">
        <f t="shared" si="12"/>
        <v>5.36080331812269</v>
      </c>
      <c r="J55" s="56">
        <f>16671786-H55-F55-D55</f>
        <v>6399626.760000002</v>
      </c>
      <c r="K55" s="64">
        <f t="shared" si="18"/>
        <v>6.606952943362724</v>
      </c>
      <c r="L55" s="56">
        <f>D55+F55+H55+J55</f>
        <v>16671786</v>
      </c>
      <c r="M55" s="64">
        <f t="shared" si="13"/>
        <v>6.606952943362724</v>
      </c>
      <c r="N55" s="56">
        <v>73500000</v>
      </c>
      <c r="O55" s="65">
        <v>615291.81</v>
      </c>
      <c r="P55" s="64">
        <f t="shared" si="19"/>
        <v>0.8371317142857143</v>
      </c>
      <c r="Q55" s="65">
        <v>1515448.93</v>
      </c>
      <c r="R55" s="64">
        <f t="shared" si="20"/>
        <v>2.0618352789115644</v>
      </c>
      <c r="S55" s="56">
        <v>4527299.26</v>
      </c>
      <c r="T55" s="64">
        <f t="shared" si="14"/>
        <v>6.159590829931973</v>
      </c>
      <c r="U55" s="56">
        <v>5901709</v>
      </c>
      <c r="V55" s="64">
        <f t="shared" si="21"/>
        <v>8.029536054421769</v>
      </c>
      <c r="W55" s="56">
        <f>O55+Q55+S55+U55</f>
        <v>12559749</v>
      </c>
      <c r="X55" s="64">
        <f t="shared" si="15"/>
        <v>17.08809387755102</v>
      </c>
      <c r="Y55" s="28"/>
      <c r="AC55" s="29"/>
    </row>
    <row r="56" spans="1:29" ht="60" customHeight="1">
      <c r="A56" s="71">
        <v>41</v>
      </c>
      <c r="B56" s="57" t="s">
        <v>42</v>
      </c>
      <c r="C56" s="56">
        <v>6700000</v>
      </c>
      <c r="D56" s="56">
        <v>27564.69</v>
      </c>
      <c r="E56" s="64">
        <f t="shared" si="16"/>
        <v>0.4114132835820895</v>
      </c>
      <c r="F56" s="56">
        <v>50673</v>
      </c>
      <c r="G56" s="64">
        <f t="shared" si="17"/>
        <v>0.7563134328358209</v>
      </c>
      <c r="H56" s="56">
        <v>105772.6</v>
      </c>
      <c r="I56" s="64">
        <f t="shared" si="12"/>
        <v>1.5786955223880599</v>
      </c>
      <c r="J56" s="56">
        <f>307107-H56-F56-D56</f>
        <v>123096.70999999999</v>
      </c>
      <c r="K56" s="64">
        <f t="shared" si="18"/>
        <v>1.8372643283582089</v>
      </c>
      <c r="L56" s="56">
        <f>D56+F56+H56+J56</f>
        <v>307107</v>
      </c>
      <c r="M56" s="64">
        <f t="shared" si="13"/>
        <v>1.8372643283582089</v>
      </c>
      <c r="N56" s="56">
        <v>6700000</v>
      </c>
      <c r="O56" s="65">
        <v>23138.54</v>
      </c>
      <c r="P56" s="64">
        <f t="shared" si="19"/>
        <v>0.3453513432835821</v>
      </c>
      <c r="Q56" s="65">
        <v>56741.05</v>
      </c>
      <c r="R56" s="64">
        <f t="shared" si="20"/>
        <v>0.8468813432835821</v>
      </c>
      <c r="S56" s="56">
        <v>48119.41</v>
      </c>
      <c r="T56" s="64">
        <f t="shared" si="14"/>
        <v>0.7182001492537314</v>
      </c>
      <c r="U56" s="56">
        <v>77590</v>
      </c>
      <c r="V56" s="64">
        <f t="shared" si="21"/>
        <v>1.1580597014925373</v>
      </c>
      <c r="W56" s="56">
        <f>O56+Q56+S56+U56</f>
        <v>205589</v>
      </c>
      <c r="X56" s="64">
        <f t="shared" si="15"/>
        <v>3.068492537313433</v>
      </c>
      <c r="Y56" s="28"/>
      <c r="AC56" s="29"/>
    </row>
    <row r="57" spans="1:29" ht="60" customHeight="1">
      <c r="A57" s="72">
        <v>42</v>
      </c>
      <c r="B57" s="57" t="s">
        <v>60</v>
      </c>
      <c r="C57" s="56">
        <v>4431000</v>
      </c>
      <c r="D57" s="56">
        <v>185038.02</v>
      </c>
      <c r="E57" s="64">
        <f t="shared" si="16"/>
        <v>4.175987813134732</v>
      </c>
      <c r="F57" s="56">
        <v>187995</v>
      </c>
      <c r="G57" s="64">
        <f t="shared" si="17"/>
        <v>4.2427217332430605</v>
      </c>
      <c r="H57" s="56">
        <v>181959.04</v>
      </c>
      <c r="I57" s="64">
        <f t="shared" si="12"/>
        <v>4.106500564206725</v>
      </c>
      <c r="J57" s="56">
        <f>744671-H57-F57-D57</f>
        <v>189678.93999999997</v>
      </c>
      <c r="K57" s="64">
        <f t="shared" si="18"/>
        <v>4.280725344166102</v>
      </c>
      <c r="L57" s="56">
        <f>D57+F57+H57+J57</f>
        <v>744671</v>
      </c>
      <c r="M57" s="64">
        <f t="shared" si="13"/>
        <v>4.280725344166102</v>
      </c>
      <c r="N57" s="56">
        <v>2302000</v>
      </c>
      <c r="O57" s="65">
        <v>179412.42</v>
      </c>
      <c r="P57" s="64">
        <f t="shared" si="19"/>
        <v>7.793762814943528</v>
      </c>
      <c r="Q57" s="65">
        <v>188863.96</v>
      </c>
      <c r="R57" s="64">
        <f t="shared" si="20"/>
        <v>8.204342311033884</v>
      </c>
      <c r="S57" s="56">
        <v>192519.62</v>
      </c>
      <c r="T57" s="64">
        <f t="shared" si="14"/>
        <v>8.363145960034752</v>
      </c>
      <c r="U57" s="56">
        <v>196468</v>
      </c>
      <c r="V57" s="64">
        <f t="shared" si="21"/>
        <v>8.534665508253692</v>
      </c>
      <c r="W57" s="56">
        <f>O57+Q57+S57+U57</f>
        <v>757264</v>
      </c>
      <c r="X57" s="64">
        <f t="shared" si="15"/>
        <v>32.895916594265856</v>
      </c>
      <c r="Y57" s="28"/>
      <c r="AC57" s="29"/>
    </row>
    <row r="58" spans="1:29" ht="60" customHeight="1">
      <c r="A58" s="71">
        <v>43</v>
      </c>
      <c r="B58" s="57" t="s">
        <v>61</v>
      </c>
      <c r="C58" s="56">
        <v>2392000</v>
      </c>
      <c r="D58" s="56">
        <v>2092.5</v>
      </c>
      <c r="E58" s="64">
        <f t="shared" si="16"/>
        <v>0.08747909698996656</v>
      </c>
      <c r="F58" s="56">
        <v>14716</v>
      </c>
      <c r="G58" s="64">
        <f t="shared" si="17"/>
        <v>0.6152173913043478</v>
      </c>
      <c r="H58" s="56">
        <v>564165</v>
      </c>
      <c r="I58" s="64">
        <f t="shared" si="12"/>
        <v>23.58549331103679</v>
      </c>
      <c r="J58" s="56">
        <f>595471-H58-F58-D58</f>
        <v>14497.5</v>
      </c>
      <c r="K58" s="64">
        <f t="shared" si="18"/>
        <v>0.6060827759197325</v>
      </c>
      <c r="L58" s="56">
        <f>D58+F58+H58+J58</f>
        <v>595471</v>
      </c>
      <c r="M58" s="64">
        <f t="shared" si="13"/>
        <v>0.6060827759197325</v>
      </c>
      <c r="N58" s="56">
        <v>1440000</v>
      </c>
      <c r="O58" s="65">
        <v>2027.5</v>
      </c>
      <c r="P58" s="64">
        <f t="shared" si="19"/>
        <v>0.1407986111111111</v>
      </c>
      <c r="Q58" s="65">
        <v>15388.7</v>
      </c>
      <c r="R58" s="64">
        <f t="shared" si="20"/>
        <v>1.0686597222222223</v>
      </c>
      <c r="S58" s="56">
        <v>14663.8</v>
      </c>
      <c r="T58" s="64">
        <f t="shared" si="14"/>
        <v>1.0183194444444443</v>
      </c>
      <c r="U58" s="56">
        <v>553099</v>
      </c>
      <c r="V58" s="64">
        <f t="shared" si="21"/>
        <v>38.40965277777778</v>
      </c>
      <c r="W58" s="56">
        <f>O58+Q58+S58+U58</f>
        <v>585179</v>
      </c>
      <c r="X58" s="64">
        <f t="shared" si="15"/>
        <v>40.637430555555554</v>
      </c>
      <c r="Y58" s="28"/>
      <c r="AC58" s="29"/>
    </row>
    <row r="59" spans="1:29" ht="64.5" customHeight="1">
      <c r="A59" s="70">
        <v>44</v>
      </c>
      <c r="B59" s="60" t="s">
        <v>65</v>
      </c>
      <c r="C59" s="60">
        <f>SUM(C60:C72)</f>
        <v>2487905945</v>
      </c>
      <c r="D59" s="60">
        <f>SUM(D60:D72)</f>
        <v>13148125.57</v>
      </c>
      <c r="E59" s="66">
        <f t="shared" si="16"/>
        <v>0.5284816170974663</v>
      </c>
      <c r="F59" s="60">
        <f>SUM(F60:F72)</f>
        <v>38452387</v>
      </c>
      <c r="G59" s="62">
        <f t="shared" si="17"/>
        <v>1.5455723749235224</v>
      </c>
      <c r="H59" s="60">
        <f>SUM(H60:H72)</f>
        <v>130544435.64999998</v>
      </c>
      <c r="I59" s="62">
        <f t="shared" si="12"/>
        <v>5.247161208499785</v>
      </c>
      <c r="J59" s="60">
        <f>SUM(J60:J72)</f>
        <v>57600934.78</v>
      </c>
      <c r="K59" s="62">
        <f t="shared" si="18"/>
        <v>2.315237635721796</v>
      </c>
      <c r="L59" s="60">
        <f>SUM(L60:L72)</f>
        <v>239745883</v>
      </c>
      <c r="M59" s="62">
        <f t="shared" si="13"/>
        <v>2.315237635721796</v>
      </c>
      <c r="N59" s="60">
        <f>SUM(N60:N72)</f>
        <v>1627535068</v>
      </c>
      <c r="O59" s="63">
        <f>SUM(O60:O72)</f>
        <v>30048939.22</v>
      </c>
      <c r="P59" s="62">
        <f t="shared" si="19"/>
        <v>1.8462852082766918</v>
      </c>
      <c r="Q59" s="63">
        <f>SUM(Q60:Q72)</f>
        <v>24277764.570000004</v>
      </c>
      <c r="R59" s="62">
        <f t="shared" si="20"/>
        <v>1.4916891836827693</v>
      </c>
      <c r="S59" s="60">
        <f>SUM(S60:S72)</f>
        <v>50162046.20999999</v>
      </c>
      <c r="T59" s="62">
        <f t="shared" si="14"/>
        <v>3.0820869667430104</v>
      </c>
      <c r="U59" s="60">
        <f>SUM(U60:U72)</f>
        <v>73871346</v>
      </c>
      <c r="V59" s="62">
        <f t="shared" si="21"/>
        <v>4.5388481915033</v>
      </c>
      <c r="W59" s="60">
        <f>SUM(W60:W72)</f>
        <v>178360096</v>
      </c>
      <c r="X59" s="62">
        <f t="shared" si="15"/>
        <v>10.958909550205773</v>
      </c>
      <c r="Y59" s="28"/>
      <c r="AC59" s="29"/>
    </row>
    <row r="60" spans="1:29" ht="60" customHeight="1">
      <c r="A60" s="72">
        <v>45</v>
      </c>
      <c r="B60" s="57" t="s">
        <v>66</v>
      </c>
      <c r="C60" s="56">
        <v>20800000</v>
      </c>
      <c r="D60" s="56">
        <v>204315</v>
      </c>
      <c r="E60" s="64">
        <f aca="true" t="shared" si="22" ref="E60:E72">D60/C60%</f>
        <v>0.9822836538461538</v>
      </c>
      <c r="F60" s="56">
        <v>703011</v>
      </c>
      <c r="G60" s="64">
        <f aca="true" t="shared" si="23" ref="G60:G72">F60/C60%</f>
        <v>3.3798605769230767</v>
      </c>
      <c r="H60" s="56">
        <v>929317.75</v>
      </c>
      <c r="I60" s="64">
        <f t="shared" si="12"/>
        <v>4.467873798076923</v>
      </c>
      <c r="J60" s="56">
        <f>2901296-H60-F60-D60</f>
        <v>1064652.25</v>
      </c>
      <c r="K60" s="64">
        <f aca="true" t="shared" si="24" ref="K60:K72">J60/C60%</f>
        <v>5.118520432692308</v>
      </c>
      <c r="L60" s="56">
        <f aca="true" t="shared" si="25" ref="L60:L72">D60+F60+H60+J60</f>
        <v>2901296</v>
      </c>
      <c r="M60" s="64">
        <f t="shared" si="13"/>
        <v>5.118520432692308</v>
      </c>
      <c r="N60" s="56">
        <v>25101000</v>
      </c>
      <c r="O60" s="65">
        <v>337653.09</v>
      </c>
      <c r="P60" s="64">
        <f aca="true" t="shared" si="26" ref="P60:P72">O60/N60%</f>
        <v>1.3451778415202582</v>
      </c>
      <c r="Q60" s="65">
        <v>350663.47</v>
      </c>
      <c r="R60" s="64">
        <f aca="true" t="shared" si="27" ref="R60:R72">Q60/N60%</f>
        <v>1.3970099597625592</v>
      </c>
      <c r="S60" s="56">
        <v>959975.44</v>
      </c>
      <c r="T60" s="64">
        <f t="shared" si="14"/>
        <v>3.824450978048683</v>
      </c>
      <c r="U60" s="56">
        <v>1021051</v>
      </c>
      <c r="V60" s="64">
        <f aca="true" t="shared" si="28" ref="V60:V72">U60/N60%</f>
        <v>4.067770208358232</v>
      </c>
      <c r="W60" s="56">
        <f aca="true" t="shared" si="29" ref="W60:W72">O60+Q60+S60+U60</f>
        <v>2669343</v>
      </c>
      <c r="X60" s="64">
        <f t="shared" si="15"/>
        <v>10.634408987689733</v>
      </c>
      <c r="Y60" s="28"/>
      <c r="AC60" s="29"/>
    </row>
    <row r="61" spans="1:29" ht="60" customHeight="1">
      <c r="A61" s="71">
        <v>46</v>
      </c>
      <c r="B61" s="57" t="s">
        <v>67</v>
      </c>
      <c r="C61" s="56">
        <v>125921000</v>
      </c>
      <c r="D61" s="56">
        <v>885211.96</v>
      </c>
      <c r="E61" s="64">
        <f t="shared" si="22"/>
        <v>0.7029899381358152</v>
      </c>
      <c r="F61" s="56">
        <v>3192647</v>
      </c>
      <c r="G61" s="64">
        <f t="shared" si="23"/>
        <v>2.535436503839709</v>
      </c>
      <c r="H61" s="56">
        <v>9834661.739999998</v>
      </c>
      <c r="I61" s="64">
        <f t="shared" si="12"/>
        <v>7.810183956607713</v>
      </c>
      <c r="J61" s="56">
        <f>33280721-H61-F61-D61</f>
        <v>19368200.3</v>
      </c>
      <c r="K61" s="64">
        <f t="shared" si="24"/>
        <v>15.381231327578403</v>
      </c>
      <c r="L61" s="56">
        <f t="shared" si="25"/>
        <v>33280721</v>
      </c>
      <c r="M61" s="64">
        <f t="shared" si="13"/>
        <v>15.381231327578403</v>
      </c>
      <c r="N61" s="56">
        <v>126245900</v>
      </c>
      <c r="O61" s="65">
        <v>195616.76</v>
      </c>
      <c r="P61" s="64">
        <f t="shared" si="26"/>
        <v>0.15494900032397094</v>
      </c>
      <c r="Q61" s="65">
        <v>1267049.98</v>
      </c>
      <c r="R61" s="64">
        <f t="shared" si="27"/>
        <v>1.0036365378994485</v>
      </c>
      <c r="S61" s="56">
        <v>13453786.26</v>
      </c>
      <c r="T61" s="64">
        <f t="shared" si="14"/>
        <v>10.656810446913523</v>
      </c>
      <c r="U61" s="56">
        <v>5199682</v>
      </c>
      <c r="V61" s="64">
        <f t="shared" si="28"/>
        <v>4.118693755599192</v>
      </c>
      <c r="W61" s="56">
        <f t="shared" si="29"/>
        <v>20116135</v>
      </c>
      <c r="X61" s="64">
        <f t="shared" si="15"/>
        <v>15.934089740736134</v>
      </c>
      <c r="Y61" s="28"/>
      <c r="AC61" s="29"/>
    </row>
    <row r="62" spans="1:29" ht="60" customHeight="1">
      <c r="A62" s="71">
        <v>47</v>
      </c>
      <c r="B62" s="57" t="s">
        <v>23</v>
      </c>
      <c r="C62" s="56">
        <v>72919075</v>
      </c>
      <c r="D62" s="56">
        <v>693578.43</v>
      </c>
      <c r="E62" s="64">
        <f t="shared" si="22"/>
        <v>0.9511618599111413</v>
      </c>
      <c r="F62" s="56">
        <v>3777717</v>
      </c>
      <c r="G62" s="64">
        <f t="shared" si="23"/>
        <v>5.1806979175202095</v>
      </c>
      <c r="H62" s="56">
        <v>5816209.41</v>
      </c>
      <c r="I62" s="64">
        <f t="shared" si="12"/>
        <v>7.976252318066295</v>
      </c>
      <c r="J62" s="56">
        <f>15439652-H62-F62-D62</f>
        <v>5152147.16</v>
      </c>
      <c r="K62" s="64">
        <f t="shared" si="24"/>
        <v>7.065568453796212</v>
      </c>
      <c r="L62" s="56">
        <f t="shared" si="25"/>
        <v>15439652</v>
      </c>
      <c r="M62" s="64">
        <f t="shared" si="13"/>
        <v>7.065568453796212</v>
      </c>
      <c r="N62" s="56">
        <v>76875000</v>
      </c>
      <c r="O62" s="65">
        <v>1240066.33</v>
      </c>
      <c r="P62" s="64">
        <f t="shared" si="26"/>
        <v>1.6130944130081302</v>
      </c>
      <c r="Q62" s="65">
        <v>4550225.13</v>
      </c>
      <c r="R62" s="64">
        <f t="shared" si="27"/>
        <v>5.91899203902439</v>
      </c>
      <c r="S62" s="56">
        <v>4723811.54</v>
      </c>
      <c r="T62" s="64">
        <f t="shared" si="14"/>
        <v>6.1447954991869915</v>
      </c>
      <c r="U62" s="56">
        <v>5101739</v>
      </c>
      <c r="V62" s="64">
        <f t="shared" si="28"/>
        <v>6.636408455284553</v>
      </c>
      <c r="W62" s="56">
        <f t="shared" si="29"/>
        <v>15615842</v>
      </c>
      <c r="X62" s="64">
        <f t="shared" si="15"/>
        <v>20.313290406504066</v>
      </c>
      <c r="Y62" s="28"/>
      <c r="AC62" s="29"/>
    </row>
    <row r="63" spans="1:29" ht="60" customHeight="1">
      <c r="A63" s="72">
        <v>48</v>
      </c>
      <c r="B63" s="57" t="s">
        <v>68</v>
      </c>
      <c r="C63" s="56">
        <v>494183000</v>
      </c>
      <c r="D63" s="56">
        <v>0</v>
      </c>
      <c r="E63" s="64">
        <f t="shared" si="22"/>
        <v>0</v>
      </c>
      <c r="F63" s="56">
        <v>9640955</v>
      </c>
      <c r="G63" s="64">
        <f t="shared" si="23"/>
        <v>1.9508876266484279</v>
      </c>
      <c r="H63" s="56">
        <v>80542443.8</v>
      </c>
      <c r="I63" s="64">
        <f t="shared" si="12"/>
        <v>16.298100865468864</v>
      </c>
      <c r="J63" s="56">
        <f>92941861-H63-F63-D63</f>
        <v>2758462.200000003</v>
      </c>
      <c r="K63" s="64">
        <f t="shared" si="24"/>
        <v>0.5581863803489806</v>
      </c>
      <c r="L63" s="56">
        <f t="shared" si="25"/>
        <v>92941861</v>
      </c>
      <c r="M63" s="64">
        <f t="shared" si="13"/>
        <v>0.5581863803489806</v>
      </c>
      <c r="N63" s="56">
        <v>355200000</v>
      </c>
      <c r="O63" s="65">
        <v>0</v>
      </c>
      <c r="P63" s="64">
        <f t="shared" si="26"/>
        <v>0</v>
      </c>
      <c r="Q63" s="65">
        <v>119930.44</v>
      </c>
      <c r="R63" s="64">
        <f t="shared" si="27"/>
        <v>0.03376420045045045</v>
      </c>
      <c r="S63" s="56">
        <v>6247265.56</v>
      </c>
      <c r="T63" s="64">
        <f t="shared" si="14"/>
        <v>1.758802240990991</v>
      </c>
      <c r="U63" s="56">
        <v>31404331.000000004</v>
      </c>
      <c r="V63" s="64">
        <f t="shared" si="28"/>
        <v>8.841309403153154</v>
      </c>
      <c r="W63" s="56">
        <f t="shared" si="29"/>
        <v>37771527</v>
      </c>
      <c r="X63" s="64">
        <f t="shared" si="15"/>
        <v>10.633875844594595</v>
      </c>
      <c r="Y63" s="28"/>
      <c r="AC63" s="29"/>
    </row>
    <row r="64" spans="1:29" ht="60" customHeight="1">
      <c r="A64" s="71">
        <v>49</v>
      </c>
      <c r="B64" s="57" t="s">
        <v>69</v>
      </c>
      <c r="C64" s="56">
        <v>70000000</v>
      </c>
      <c r="D64" s="56">
        <v>2000</v>
      </c>
      <c r="E64" s="64">
        <f t="shared" si="22"/>
        <v>0.002857142857142857</v>
      </c>
      <c r="F64" s="56">
        <v>42058</v>
      </c>
      <c r="G64" s="64">
        <f t="shared" si="23"/>
        <v>0.060082857142857146</v>
      </c>
      <c r="H64" s="56">
        <v>57812.46</v>
      </c>
      <c r="I64" s="64">
        <f t="shared" si="12"/>
        <v>0.08258922857142857</v>
      </c>
      <c r="J64" s="56">
        <f>162151-H64-F64-D64</f>
        <v>60280.54000000001</v>
      </c>
      <c r="K64" s="64">
        <f t="shared" si="24"/>
        <v>0.08611505714285715</v>
      </c>
      <c r="L64" s="56">
        <f t="shared" si="25"/>
        <v>162151</v>
      </c>
      <c r="M64" s="64">
        <f t="shared" si="13"/>
        <v>0.08611505714285715</v>
      </c>
      <c r="N64" s="56">
        <v>70000000</v>
      </c>
      <c r="O64" s="65">
        <v>15668.65</v>
      </c>
      <c r="P64" s="64">
        <f t="shared" si="26"/>
        <v>0.022383785714285714</v>
      </c>
      <c r="Q64" s="65">
        <v>20225.96</v>
      </c>
      <c r="R64" s="64">
        <f t="shared" si="27"/>
        <v>0.02889422857142857</v>
      </c>
      <c r="S64" s="56">
        <v>40766.39</v>
      </c>
      <c r="T64" s="64">
        <f t="shared" si="14"/>
        <v>0.058237699999999996</v>
      </c>
      <c r="U64" s="56">
        <v>45286</v>
      </c>
      <c r="V64" s="64">
        <f t="shared" si="28"/>
        <v>0.06469428571428572</v>
      </c>
      <c r="W64" s="56">
        <f t="shared" si="29"/>
        <v>121947</v>
      </c>
      <c r="X64" s="64">
        <f t="shared" si="15"/>
        <v>0.17421</v>
      </c>
      <c r="Y64" s="28"/>
      <c r="AC64" s="29"/>
    </row>
    <row r="65" spans="1:29" ht="60" customHeight="1">
      <c r="A65" s="72">
        <v>50</v>
      </c>
      <c r="B65" s="57" t="s">
        <v>55</v>
      </c>
      <c r="C65" s="56">
        <v>270429352</v>
      </c>
      <c r="D65" s="56">
        <f>7041630</f>
        <v>7041630</v>
      </c>
      <c r="E65" s="64">
        <f t="shared" si="22"/>
        <v>2.6038704556005445</v>
      </c>
      <c r="F65" s="56">
        <v>12184123</v>
      </c>
      <c r="G65" s="64">
        <f t="shared" si="23"/>
        <v>4.505473577439183</v>
      </c>
      <c r="H65" s="56">
        <v>13437535.219999999</v>
      </c>
      <c r="I65" s="64">
        <f t="shared" si="12"/>
        <v>4.968963287683358</v>
      </c>
      <c r="J65" s="56">
        <f>46345703-H65-F65-D65</f>
        <v>13682414.780000001</v>
      </c>
      <c r="K65" s="64">
        <f t="shared" si="24"/>
        <v>5.05951542567761</v>
      </c>
      <c r="L65" s="56">
        <f t="shared" si="25"/>
        <v>46345703</v>
      </c>
      <c r="M65" s="64">
        <f t="shared" si="13"/>
        <v>5.05951542567761</v>
      </c>
      <c r="N65" s="56">
        <v>296215000</v>
      </c>
      <c r="O65" s="65">
        <v>11451407.95</v>
      </c>
      <c r="P65" s="64">
        <f t="shared" si="26"/>
        <v>3.865910892426109</v>
      </c>
      <c r="Q65" s="65">
        <v>18228314.110000003</v>
      </c>
      <c r="R65" s="64">
        <f t="shared" si="27"/>
        <v>6.153744445757305</v>
      </c>
      <c r="S65" s="56">
        <v>13975841.939999998</v>
      </c>
      <c r="T65" s="64">
        <f t="shared" si="14"/>
        <v>4.718141194740306</v>
      </c>
      <c r="U65" s="56">
        <v>14862797.999999996</v>
      </c>
      <c r="V65" s="64">
        <f t="shared" si="28"/>
        <v>5.017571021048899</v>
      </c>
      <c r="W65" s="56">
        <f t="shared" si="29"/>
        <v>58518362</v>
      </c>
      <c r="X65" s="64">
        <f t="shared" si="15"/>
        <v>19.755367553972622</v>
      </c>
      <c r="Y65" s="28"/>
      <c r="AC65" s="29"/>
    </row>
    <row r="66" spans="1:29" ht="60" customHeight="1">
      <c r="A66" s="71">
        <v>51</v>
      </c>
      <c r="B66" s="57" t="s">
        <v>44</v>
      </c>
      <c r="C66" s="56">
        <v>845790000</v>
      </c>
      <c r="D66" s="56">
        <v>0</v>
      </c>
      <c r="E66" s="64">
        <f t="shared" si="22"/>
        <v>0</v>
      </c>
      <c r="F66" s="56">
        <v>0</v>
      </c>
      <c r="G66" s="64">
        <f t="shared" si="23"/>
        <v>0</v>
      </c>
      <c r="H66" s="56">
        <v>0</v>
      </c>
      <c r="I66" s="64">
        <f t="shared" si="12"/>
        <v>0</v>
      </c>
      <c r="J66" s="56">
        <f>0-H66-F66-D66</f>
        <v>0</v>
      </c>
      <c r="K66" s="64">
        <f t="shared" si="24"/>
        <v>0</v>
      </c>
      <c r="L66" s="56">
        <f t="shared" si="25"/>
        <v>0</v>
      </c>
      <c r="M66" s="64">
        <f t="shared" si="13"/>
        <v>0</v>
      </c>
      <c r="N66" s="56">
        <v>0</v>
      </c>
      <c r="O66" s="65">
        <v>0</v>
      </c>
      <c r="P66" s="64">
        <v>0</v>
      </c>
      <c r="Q66" s="65">
        <v>0</v>
      </c>
      <c r="R66" s="64">
        <v>0</v>
      </c>
      <c r="S66" s="56">
        <v>0</v>
      </c>
      <c r="T66" s="64">
        <v>0</v>
      </c>
      <c r="U66" s="56">
        <v>0</v>
      </c>
      <c r="V66" s="64">
        <v>0</v>
      </c>
      <c r="W66" s="56">
        <f t="shared" si="29"/>
        <v>0</v>
      </c>
      <c r="X66" s="64">
        <v>0</v>
      </c>
      <c r="Y66" s="28"/>
      <c r="AC66" s="29"/>
    </row>
    <row r="67" spans="1:29" ht="60" customHeight="1">
      <c r="A67" s="71">
        <v>52</v>
      </c>
      <c r="B67" s="57" t="s">
        <v>45</v>
      </c>
      <c r="C67" s="56">
        <v>185725637</v>
      </c>
      <c r="D67" s="56">
        <v>0</v>
      </c>
      <c r="E67" s="64">
        <f t="shared" si="22"/>
        <v>0</v>
      </c>
      <c r="F67" s="56">
        <v>111853</v>
      </c>
      <c r="G67" s="64">
        <f t="shared" si="23"/>
        <v>0.06022485737927499</v>
      </c>
      <c r="H67" s="56">
        <v>826110.17</v>
      </c>
      <c r="I67" s="64">
        <f t="shared" si="12"/>
        <v>0.44480136579098123</v>
      </c>
      <c r="J67" s="56">
        <f>1960855-H67-F67-D67</f>
        <v>1022891.8300000001</v>
      </c>
      <c r="K67" s="64">
        <f t="shared" si="24"/>
        <v>0.5507542450911072</v>
      </c>
      <c r="L67" s="56">
        <f t="shared" si="25"/>
        <v>1960855</v>
      </c>
      <c r="M67" s="64">
        <f t="shared" si="13"/>
        <v>0.5507542450911072</v>
      </c>
      <c r="N67" s="56">
        <v>111639384</v>
      </c>
      <c r="O67" s="65">
        <v>31848.79</v>
      </c>
      <c r="P67" s="64">
        <f t="shared" si="26"/>
        <v>0.028528274573783027</v>
      </c>
      <c r="Q67" s="65">
        <v>425565.21</v>
      </c>
      <c r="R67" s="64">
        <f t="shared" si="27"/>
        <v>0.38119630792660053</v>
      </c>
      <c r="S67" s="56">
        <v>781375</v>
      </c>
      <c r="T67" s="64">
        <f aca="true" t="shared" si="30" ref="T67:T93">S67/N67%</f>
        <v>0.6999098096062586</v>
      </c>
      <c r="U67" s="56">
        <v>857955</v>
      </c>
      <c r="V67" s="64">
        <f t="shared" si="28"/>
        <v>0.7685056735891699</v>
      </c>
      <c r="W67" s="56">
        <f t="shared" si="29"/>
        <v>2096744</v>
      </c>
      <c r="X67" s="64">
        <f aca="true" t="shared" si="31" ref="X67:X93">W67/N67%</f>
        <v>1.878140065695812</v>
      </c>
      <c r="Y67" s="28"/>
      <c r="AC67" s="29"/>
    </row>
    <row r="68" spans="1:29" ht="60" customHeight="1">
      <c r="A68" s="72">
        <v>53</v>
      </c>
      <c r="B68" s="57" t="s">
        <v>30</v>
      </c>
      <c r="C68" s="56">
        <v>55310000</v>
      </c>
      <c r="D68" s="56">
        <v>89100.57</v>
      </c>
      <c r="E68" s="64">
        <f t="shared" si="22"/>
        <v>0.1610930573133249</v>
      </c>
      <c r="F68" s="56">
        <v>2212582</v>
      </c>
      <c r="G68" s="64">
        <f t="shared" si="23"/>
        <v>4.000329054420539</v>
      </c>
      <c r="H68" s="56">
        <v>1929008.78</v>
      </c>
      <c r="I68" s="64">
        <f t="shared" si="12"/>
        <v>3.4876311336105585</v>
      </c>
      <c r="J68" s="56">
        <f>9199603-H68-F68-D68</f>
        <v>4968911.649999999</v>
      </c>
      <c r="K68" s="64">
        <f t="shared" si="24"/>
        <v>8.983749141204122</v>
      </c>
      <c r="L68" s="56">
        <f t="shared" si="25"/>
        <v>9199603</v>
      </c>
      <c r="M68" s="64">
        <f t="shared" si="13"/>
        <v>8.983749141204122</v>
      </c>
      <c r="N68" s="56">
        <v>54695000</v>
      </c>
      <c r="O68" s="65">
        <v>12992.73</v>
      </c>
      <c r="P68" s="64">
        <f t="shared" si="26"/>
        <v>0.02375487704543377</v>
      </c>
      <c r="Q68" s="65">
        <v>383284.16</v>
      </c>
      <c r="R68" s="64">
        <f t="shared" si="27"/>
        <v>0.7007663588993509</v>
      </c>
      <c r="S68" s="56">
        <v>378968.11</v>
      </c>
      <c r="T68" s="64">
        <f t="shared" si="30"/>
        <v>0.6928752353962885</v>
      </c>
      <c r="U68" s="56">
        <v>470811</v>
      </c>
      <c r="V68" s="64">
        <f t="shared" si="28"/>
        <v>0.8607934911783527</v>
      </c>
      <c r="W68" s="56">
        <f t="shared" si="29"/>
        <v>1246056</v>
      </c>
      <c r="X68" s="64">
        <f t="shared" si="31"/>
        <v>2.2781899625194257</v>
      </c>
      <c r="Y68" s="28"/>
      <c r="AC68" s="29"/>
    </row>
    <row r="69" spans="1:29" ht="60" customHeight="1">
      <c r="A69" s="71">
        <v>54</v>
      </c>
      <c r="B69" s="57" t="s">
        <v>60</v>
      </c>
      <c r="C69" s="56">
        <v>67330000</v>
      </c>
      <c r="D69" s="56">
        <v>4232289.61</v>
      </c>
      <c r="E69" s="64">
        <f t="shared" si="22"/>
        <v>6.285889811376801</v>
      </c>
      <c r="F69" s="56">
        <v>6587441</v>
      </c>
      <c r="G69" s="64">
        <f t="shared" si="23"/>
        <v>9.783812564978465</v>
      </c>
      <c r="H69" s="56">
        <v>5813240.319999999</v>
      </c>
      <c r="I69" s="64">
        <f t="shared" si="12"/>
        <v>8.633952651121342</v>
      </c>
      <c r="J69" s="56">
        <f>22377673-H69-F69-D69</f>
        <v>5744702.069999999</v>
      </c>
      <c r="K69" s="64">
        <f t="shared" si="24"/>
        <v>8.532158131590672</v>
      </c>
      <c r="L69" s="56">
        <f t="shared" si="25"/>
        <v>22377673</v>
      </c>
      <c r="M69" s="64">
        <f t="shared" si="13"/>
        <v>8.532158131590672</v>
      </c>
      <c r="N69" s="56">
        <v>69535000</v>
      </c>
      <c r="O69" s="65">
        <v>11981412.92</v>
      </c>
      <c r="P69" s="64">
        <f t="shared" si="26"/>
        <v>17.230765686345006</v>
      </c>
      <c r="Q69" s="65">
        <v>-1067493.89</v>
      </c>
      <c r="R69" s="64">
        <f t="shared" si="27"/>
        <v>-1.5351893147335873</v>
      </c>
      <c r="S69" s="56">
        <v>4874431.97</v>
      </c>
      <c r="T69" s="64">
        <f t="shared" si="30"/>
        <v>7.010040943409793</v>
      </c>
      <c r="U69" s="56">
        <v>5483117.000000001</v>
      </c>
      <c r="V69" s="64">
        <f t="shared" si="28"/>
        <v>7.885405910692459</v>
      </c>
      <c r="W69" s="56">
        <f t="shared" si="29"/>
        <v>21271468</v>
      </c>
      <c r="X69" s="64">
        <f t="shared" si="31"/>
        <v>30.59102322571367</v>
      </c>
      <c r="Y69" s="28"/>
      <c r="AC69" s="29"/>
    </row>
    <row r="70" spans="1:29" ht="60" customHeight="1">
      <c r="A70" s="71">
        <v>55</v>
      </c>
      <c r="B70" s="57" t="s">
        <v>61</v>
      </c>
      <c r="C70" s="56">
        <v>58037648</v>
      </c>
      <c r="D70" s="56">
        <v>0</v>
      </c>
      <c r="E70" s="64">
        <f t="shared" si="22"/>
        <v>0</v>
      </c>
      <c r="F70" s="56">
        <v>0</v>
      </c>
      <c r="G70" s="64">
        <f t="shared" si="23"/>
        <v>0</v>
      </c>
      <c r="H70" s="56">
        <v>11358096</v>
      </c>
      <c r="I70" s="64">
        <f t="shared" si="12"/>
        <v>19.57022103997047</v>
      </c>
      <c r="J70" s="56">
        <f>15136368-H70-F70-D70</f>
        <v>3778272</v>
      </c>
      <c r="K70" s="64">
        <f t="shared" si="24"/>
        <v>6.510036381901624</v>
      </c>
      <c r="L70" s="56">
        <f t="shared" si="25"/>
        <v>15136368</v>
      </c>
      <c r="M70" s="64">
        <f t="shared" si="13"/>
        <v>6.510036381901624</v>
      </c>
      <c r="N70" s="56">
        <v>55440000</v>
      </c>
      <c r="O70" s="65">
        <v>4782272</v>
      </c>
      <c r="P70" s="64">
        <f t="shared" si="26"/>
        <v>8.626031746031746</v>
      </c>
      <c r="Q70" s="65">
        <v>0</v>
      </c>
      <c r="R70" s="64">
        <f t="shared" si="27"/>
        <v>0</v>
      </c>
      <c r="S70" s="56">
        <v>4725824</v>
      </c>
      <c r="T70" s="64">
        <f t="shared" si="30"/>
        <v>8.524213564213564</v>
      </c>
      <c r="U70" s="56">
        <v>9424576</v>
      </c>
      <c r="V70" s="64">
        <f t="shared" si="28"/>
        <v>16.99959595959596</v>
      </c>
      <c r="W70" s="56">
        <f t="shared" si="29"/>
        <v>18932672</v>
      </c>
      <c r="X70" s="64">
        <f t="shared" si="31"/>
        <v>34.14984126984127</v>
      </c>
      <c r="Y70" s="28"/>
      <c r="AC70" s="29"/>
    </row>
    <row r="71" spans="1:29" ht="60" customHeight="1">
      <c r="A71" s="72">
        <v>56</v>
      </c>
      <c r="B71" s="57" t="s">
        <v>46</v>
      </c>
      <c r="C71" s="56">
        <v>35640</v>
      </c>
      <c r="D71" s="56">
        <v>0</v>
      </c>
      <c r="E71" s="64">
        <f t="shared" si="22"/>
        <v>0</v>
      </c>
      <c r="F71" s="56">
        <v>0</v>
      </c>
      <c r="G71" s="64">
        <f t="shared" si="23"/>
        <v>0</v>
      </c>
      <c r="H71" s="56">
        <v>0</v>
      </c>
      <c r="I71" s="64">
        <f t="shared" si="12"/>
        <v>0</v>
      </c>
      <c r="J71" s="56">
        <f>0-H71-F71-D71</f>
        <v>0</v>
      </c>
      <c r="K71" s="64">
        <f t="shared" si="24"/>
        <v>0</v>
      </c>
      <c r="L71" s="56">
        <f t="shared" si="25"/>
        <v>0</v>
      </c>
      <c r="M71" s="64">
        <f t="shared" si="13"/>
        <v>0</v>
      </c>
      <c r="N71" s="56">
        <v>64968</v>
      </c>
      <c r="O71" s="65">
        <v>0</v>
      </c>
      <c r="P71" s="64">
        <f t="shared" si="26"/>
        <v>0</v>
      </c>
      <c r="Q71" s="65">
        <v>0</v>
      </c>
      <c r="R71" s="64">
        <f t="shared" si="27"/>
        <v>0</v>
      </c>
      <c r="S71" s="56">
        <v>0</v>
      </c>
      <c r="T71" s="64">
        <f t="shared" si="30"/>
        <v>0</v>
      </c>
      <c r="U71" s="56">
        <v>0</v>
      </c>
      <c r="V71" s="64">
        <f t="shared" si="28"/>
        <v>0</v>
      </c>
      <c r="W71" s="56">
        <f t="shared" si="29"/>
        <v>0</v>
      </c>
      <c r="X71" s="64">
        <f t="shared" si="31"/>
        <v>0</v>
      </c>
      <c r="Y71" s="28"/>
      <c r="AC71" s="29"/>
    </row>
    <row r="72" spans="1:29" ht="60" customHeight="1">
      <c r="A72" s="71">
        <v>57</v>
      </c>
      <c r="B72" s="57" t="s">
        <v>62</v>
      </c>
      <c r="C72" s="56">
        <v>221424593</v>
      </c>
      <c r="D72" s="56">
        <v>0</v>
      </c>
      <c r="E72" s="64">
        <f t="shared" si="22"/>
        <v>0</v>
      </c>
      <c r="F72" s="56">
        <v>0</v>
      </c>
      <c r="G72" s="64">
        <f t="shared" si="23"/>
        <v>0</v>
      </c>
      <c r="H72" s="56">
        <v>0</v>
      </c>
      <c r="I72" s="64">
        <f t="shared" si="12"/>
        <v>0</v>
      </c>
      <c r="J72" s="56">
        <f>0-H72-F72-D72</f>
        <v>0</v>
      </c>
      <c r="K72" s="64">
        <f t="shared" si="24"/>
        <v>0</v>
      </c>
      <c r="L72" s="56">
        <f t="shared" si="25"/>
        <v>0</v>
      </c>
      <c r="M72" s="64">
        <f t="shared" si="13"/>
        <v>0</v>
      </c>
      <c r="N72" s="56">
        <v>386523816</v>
      </c>
      <c r="O72" s="65">
        <v>0</v>
      </c>
      <c r="P72" s="64">
        <f t="shared" si="26"/>
        <v>0</v>
      </c>
      <c r="Q72" s="65">
        <v>0</v>
      </c>
      <c r="R72" s="64">
        <f t="shared" si="27"/>
        <v>0</v>
      </c>
      <c r="S72" s="56">
        <v>0</v>
      </c>
      <c r="T72" s="64">
        <f t="shared" si="30"/>
        <v>0</v>
      </c>
      <c r="U72" s="56">
        <v>0</v>
      </c>
      <c r="V72" s="64">
        <f t="shared" si="28"/>
        <v>0</v>
      </c>
      <c r="W72" s="56">
        <f t="shared" si="29"/>
        <v>0</v>
      </c>
      <c r="X72" s="64">
        <f t="shared" si="31"/>
        <v>0</v>
      </c>
      <c r="Y72" s="28"/>
      <c r="AC72" s="29"/>
    </row>
    <row r="73" spans="1:29" ht="64.5" customHeight="1">
      <c r="A73" s="70">
        <v>58</v>
      </c>
      <c r="B73" s="60" t="s">
        <v>47</v>
      </c>
      <c r="C73" s="60">
        <f>SUM(C74:C83)</f>
        <v>179771966</v>
      </c>
      <c r="D73" s="60">
        <f>SUM(D74:D83)</f>
        <v>4207788.510000001</v>
      </c>
      <c r="E73" s="66">
        <f>D73/C73%</f>
        <v>2.3406255177740007</v>
      </c>
      <c r="F73" s="60">
        <f>SUM(F74:F83)</f>
        <v>8571946</v>
      </c>
      <c r="G73" s="62">
        <f>F73/C73%</f>
        <v>4.768232884542187</v>
      </c>
      <c r="H73" s="60">
        <f>SUM(H74:H83)</f>
        <v>11880935.670000002</v>
      </c>
      <c r="I73" s="62">
        <f t="shared" si="12"/>
        <v>6.608892328629261</v>
      </c>
      <c r="J73" s="60">
        <f>SUM(J74:J83)</f>
        <v>13580840.82</v>
      </c>
      <c r="K73" s="62">
        <f>J73/C73%</f>
        <v>7.554482004162986</v>
      </c>
      <c r="L73" s="60">
        <f>SUM(L74:L83)</f>
        <v>38241511</v>
      </c>
      <c r="M73" s="62">
        <f t="shared" si="13"/>
        <v>7.554482004162986</v>
      </c>
      <c r="N73" s="60">
        <f>SUM(N74:N83)</f>
        <v>201555300</v>
      </c>
      <c r="O73" s="63">
        <f>SUM(O74:O83)</f>
        <v>4896056.29</v>
      </c>
      <c r="P73" s="62">
        <f>O73/N73%</f>
        <v>2.4291379537030284</v>
      </c>
      <c r="Q73" s="63">
        <f>SUM(Q74:Q83)</f>
        <v>9508488.95</v>
      </c>
      <c r="R73" s="62">
        <f>Q73/N73%</f>
        <v>4.717558382240506</v>
      </c>
      <c r="S73" s="60">
        <f>SUM(S74:S83)</f>
        <v>13858779.759999998</v>
      </c>
      <c r="T73" s="62">
        <f t="shared" si="30"/>
        <v>6.875919293613216</v>
      </c>
      <c r="U73" s="60">
        <f>SUM(U74:U83)</f>
        <v>16447801</v>
      </c>
      <c r="V73" s="62">
        <f>U73/N73%</f>
        <v>8.160440831870956</v>
      </c>
      <c r="W73" s="60">
        <f>SUM(W74:W83)</f>
        <v>44711126</v>
      </c>
      <c r="X73" s="62">
        <f t="shared" si="31"/>
        <v>22.183056461427707</v>
      </c>
      <c r="Y73" s="28"/>
      <c r="AC73" s="29"/>
    </row>
    <row r="74" spans="1:29" ht="60" customHeight="1">
      <c r="A74" s="72">
        <v>59</v>
      </c>
      <c r="B74" s="57" t="s">
        <v>23</v>
      </c>
      <c r="C74" s="56">
        <v>32337190</v>
      </c>
      <c r="D74" s="56">
        <v>1632230.36</v>
      </c>
      <c r="E74" s="64">
        <f aca="true" t="shared" si="32" ref="E74:E82">D74/C74%</f>
        <v>5.047533072601547</v>
      </c>
      <c r="F74" s="56">
        <v>2333701</v>
      </c>
      <c r="G74" s="64">
        <f aca="true" t="shared" si="33" ref="G74:G82">F74/C74%</f>
        <v>7.216771154203565</v>
      </c>
      <c r="H74" s="56">
        <v>4786338.62</v>
      </c>
      <c r="I74" s="64">
        <f t="shared" si="12"/>
        <v>14.801343654164137</v>
      </c>
      <c r="J74" s="56">
        <f>13129432-H74-F74-D74</f>
        <v>4377162.02</v>
      </c>
      <c r="K74" s="64">
        <f aca="true" t="shared" si="34" ref="K74:K82">J74/C74%</f>
        <v>13.535999943099569</v>
      </c>
      <c r="L74" s="56">
        <f aca="true" t="shared" si="35" ref="L74:L83">D74+F74+H74+J74</f>
        <v>13129432</v>
      </c>
      <c r="M74" s="64">
        <f t="shared" si="13"/>
        <v>13.535999943099569</v>
      </c>
      <c r="N74" s="56">
        <v>34794500</v>
      </c>
      <c r="O74" s="65">
        <v>1869354.56</v>
      </c>
      <c r="P74" s="64">
        <f aca="true" t="shared" si="36" ref="P74:P83">O74/N74%</f>
        <v>5.372557616864735</v>
      </c>
      <c r="Q74" s="65">
        <v>3065290.37</v>
      </c>
      <c r="R74" s="64">
        <f aca="true" t="shared" si="37" ref="R74:R83">Q74/N74%</f>
        <v>8.80969799824685</v>
      </c>
      <c r="S74" s="56">
        <v>5687292.069999999</v>
      </c>
      <c r="T74" s="64">
        <f t="shared" si="30"/>
        <v>16.345376625616115</v>
      </c>
      <c r="U74" s="56">
        <v>4069288</v>
      </c>
      <c r="V74" s="64">
        <f aca="true" t="shared" si="38" ref="V74:V83">U74/N74%</f>
        <v>11.695204701892541</v>
      </c>
      <c r="W74" s="56">
        <f aca="true" t="shared" si="39" ref="W74:W83">O74+Q74+S74+U74</f>
        <v>14691225</v>
      </c>
      <c r="X74" s="64">
        <f t="shared" si="31"/>
        <v>42.22283694262024</v>
      </c>
      <c r="Y74" s="28"/>
      <c r="AC74" s="29"/>
    </row>
    <row r="75" spans="1:29" ht="60" customHeight="1">
      <c r="A75" s="71">
        <v>60</v>
      </c>
      <c r="B75" s="57" t="s">
        <v>66</v>
      </c>
      <c r="C75" s="56">
        <v>16500000</v>
      </c>
      <c r="D75" s="56">
        <v>242524.53</v>
      </c>
      <c r="E75" s="64">
        <f t="shared" si="32"/>
        <v>1.4698456363636363</v>
      </c>
      <c r="F75" s="56">
        <v>743225</v>
      </c>
      <c r="G75" s="64">
        <f t="shared" si="33"/>
        <v>4.504393939393939</v>
      </c>
      <c r="H75" s="56">
        <v>847418.27</v>
      </c>
      <c r="I75" s="64">
        <f t="shared" si="12"/>
        <v>5.135868303030303</v>
      </c>
      <c r="J75" s="56">
        <f>3141024-H75-F75-D75</f>
        <v>1307856.2</v>
      </c>
      <c r="K75" s="64">
        <f t="shared" si="34"/>
        <v>7.9264012121212115</v>
      </c>
      <c r="L75" s="56">
        <f t="shared" si="35"/>
        <v>3141024</v>
      </c>
      <c r="M75" s="64">
        <f t="shared" si="13"/>
        <v>7.9264012121212115</v>
      </c>
      <c r="N75" s="56">
        <v>17781600</v>
      </c>
      <c r="O75" s="65">
        <v>364807.25</v>
      </c>
      <c r="P75" s="64">
        <f t="shared" si="36"/>
        <v>2.0515996873172266</v>
      </c>
      <c r="Q75" s="65">
        <v>1085642.25</v>
      </c>
      <c r="R75" s="64">
        <f t="shared" si="37"/>
        <v>6.105424989877176</v>
      </c>
      <c r="S75" s="56">
        <v>977113.5</v>
      </c>
      <c r="T75" s="64">
        <f t="shared" si="30"/>
        <v>5.495081994871103</v>
      </c>
      <c r="U75" s="56">
        <v>1266404</v>
      </c>
      <c r="V75" s="64">
        <f t="shared" si="38"/>
        <v>7.121991271876547</v>
      </c>
      <c r="W75" s="56">
        <f t="shared" si="39"/>
        <v>3693967</v>
      </c>
      <c r="X75" s="64">
        <f t="shared" si="31"/>
        <v>20.774097943942053</v>
      </c>
      <c r="Y75" s="28"/>
      <c r="AC75" s="29"/>
    </row>
    <row r="76" spans="1:29" ht="60" customHeight="1">
      <c r="A76" s="71">
        <v>61</v>
      </c>
      <c r="B76" s="57" t="s">
        <v>48</v>
      </c>
      <c r="C76" s="56">
        <v>15400000</v>
      </c>
      <c r="D76" s="56">
        <v>0</v>
      </c>
      <c r="E76" s="64">
        <f t="shared" si="32"/>
        <v>0</v>
      </c>
      <c r="F76" s="56">
        <v>692653</v>
      </c>
      <c r="G76" s="64">
        <f t="shared" si="33"/>
        <v>4.497746753246753</v>
      </c>
      <c r="H76" s="56">
        <v>460452.84</v>
      </c>
      <c r="I76" s="64">
        <f t="shared" si="12"/>
        <v>2.9899535064935066</v>
      </c>
      <c r="J76" s="56">
        <f>2020108-H76-F76-D76</f>
        <v>867002.1599999999</v>
      </c>
      <c r="K76" s="64">
        <f t="shared" si="34"/>
        <v>5.629884155844155</v>
      </c>
      <c r="L76" s="56">
        <f t="shared" si="35"/>
        <v>2020108</v>
      </c>
      <c r="M76" s="64">
        <f t="shared" si="13"/>
        <v>5.629884155844155</v>
      </c>
      <c r="N76" s="56">
        <v>14204300</v>
      </c>
      <c r="O76" s="65">
        <v>153306.87</v>
      </c>
      <c r="P76" s="64">
        <f t="shared" si="36"/>
        <v>1.0792990150869806</v>
      </c>
      <c r="Q76" s="65">
        <v>109632.63</v>
      </c>
      <c r="R76" s="64">
        <f t="shared" si="37"/>
        <v>0.771827052371465</v>
      </c>
      <c r="S76" s="56">
        <v>249711.5</v>
      </c>
      <c r="T76" s="64">
        <f t="shared" si="30"/>
        <v>1.7579993382285646</v>
      </c>
      <c r="U76" s="56">
        <v>456938</v>
      </c>
      <c r="V76" s="64">
        <f t="shared" si="38"/>
        <v>3.2168991080165865</v>
      </c>
      <c r="W76" s="56">
        <f t="shared" si="39"/>
        <v>969589</v>
      </c>
      <c r="X76" s="64">
        <f t="shared" si="31"/>
        <v>6.826024513703596</v>
      </c>
      <c r="Y76" s="28"/>
      <c r="AC76" s="29"/>
    </row>
    <row r="77" spans="1:29" ht="60" customHeight="1">
      <c r="A77" s="72">
        <v>62</v>
      </c>
      <c r="B77" s="57" t="s">
        <v>49</v>
      </c>
      <c r="C77" s="56">
        <v>11000000</v>
      </c>
      <c r="D77" s="56">
        <v>0</v>
      </c>
      <c r="E77" s="64">
        <f t="shared" si="32"/>
        <v>0</v>
      </c>
      <c r="F77" s="56">
        <v>1179439</v>
      </c>
      <c r="G77" s="64">
        <f t="shared" si="33"/>
        <v>10.722172727272728</v>
      </c>
      <c r="H77" s="56">
        <v>648030.92</v>
      </c>
      <c r="I77" s="64">
        <f t="shared" si="12"/>
        <v>5.891190181818182</v>
      </c>
      <c r="J77" s="56">
        <f>2747078-H77-F77-D77</f>
        <v>919608.0800000001</v>
      </c>
      <c r="K77" s="64">
        <f t="shared" si="34"/>
        <v>8.360073454545455</v>
      </c>
      <c r="L77" s="56">
        <f t="shared" si="35"/>
        <v>2747078</v>
      </c>
      <c r="M77" s="64">
        <f t="shared" si="13"/>
        <v>8.360073454545455</v>
      </c>
      <c r="N77" s="56">
        <v>20000000</v>
      </c>
      <c r="O77" s="65">
        <v>0</v>
      </c>
      <c r="P77" s="64">
        <f t="shared" si="36"/>
        <v>0</v>
      </c>
      <c r="Q77" s="65">
        <v>0</v>
      </c>
      <c r="R77" s="64">
        <f t="shared" si="37"/>
        <v>0</v>
      </c>
      <c r="S77" s="56">
        <v>992761</v>
      </c>
      <c r="T77" s="64">
        <f t="shared" si="30"/>
        <v>4.963805</v>
      </c>
      <c r="U77" s="56">
        <v>1994914</v>
      </c>
      <c r="V77" s="64">
        <f t="shared" si="38"/>
        <v>9.97457</v>
      </c>
      <c r="W77" s="56">
        <f t="shared" si="39"/>
        <v>2987675</v>
      </c>
      <c r="X77" s="64">
        <f t="shared" si="31"/>
        <v>14.938375</v>
      </c>
      <c r="Y77" s="28"/>
      <c r="AC77" s="29"/>
    </row>
    <row r="78" spans="1:29" ht="60" customHeight="1">
      <c r="A78" s="71">
        <v>63</v>
      </c>
      <c r="B78" s="57" t="s">
        <v>50</v>
      </c>
      <c r="C78" s="56">
        <v>32913776</v>
      </c>
      <c r="D78" s="56">
        <v>139785.43</v>
      </c>
      <c r="E78" s="64">
        <f t="shared" si="32"/>
        <v>0.42470189382099455</v>
      </c>
      <c r="F78" s="56">
        <v>292401</v>
      </c>
      <c r="G78" s="64">
        <f t="shared" si="33"/>
        <v>0.8883848513765178</v>
      </c>
      <c r="H78" s="56">
        <v>312922.12</v>
      </c>
      <c r="I78" s="64">
        <f t="shared" si="12"/>
        <v>0.9507329696841833</v>
      </c>
      <c r="J78" s="56">
        <f>1234132-H78-F78-D78</f>
        <v>489023.45</v>
      </c>
      <c r="K78" s="64">
        <f t="shared" si="34"/>
        <v>1.4857713378130786</v>
      </c>
      <c r="L78" s="56">
        <f t="shared" si="35"/>
        <v>1234132</v>
      </c>
      <c r="M78" s="64">
        <f t="shared" si="13"/>
        <v>1.4857713378130786</v>
      </c>
      <c r="N78" s="56">
        <v>35620000</v>
      </c>
      <c r="O78" s="65">
        <v>49681.3</v>
      </c>
      <c r="P78" s="64">
        <f t="shared" si="36"/>
        <v>0.1394758562605278</v>
      </c>
      <c r="Q78" s="65">
        <v>1778760.46</v>
      </c>
      <c r="R78" s="64">
        <f t="shared" si="37"/>
        <v>4.99371268950028</v>
      </c>
      <c r="S78" s="56">
        <v>1327218.24</v>
      </c>
      <c r="T78" s="64">
        <f t="shared" si="30"/>
        <v>3.726047838293094</v>
      </c>
      <c r="U78" s="56">
        <v>1385637</v>
      </c>
      <c r="V78" s="64">
        <f t="shared" si="38"/>
        <v>3.8900533408197644</v>
      </c>
      <c r="W78" s="56">
        <f t="shared" si="39"/>
        <v>4541297</v>
      </c>
      <c r="X78" s="64">
        <f t="shared" si="31"/>
        <v>12.749289724873666</v>
      </c>
      <c r="Y78" s="28"/>
      <c r="AC78" s="29"/>
    </row>
    <row r="79" spans="1:29" ht="60" customHeight="1">
      <c r="A79" s="71">
        <v>64</v>
      </c>
      <c r="B79" s="57" t="s">
        <v>51</v>
      </c>
      <c r="C79" s="56">
        <v>50779200</v>
      </c>
      <c r="D79" s="56">
        <v>1293301.37</v>
      </c>
      <c r="E79" s="64">
        <f t="shared" si="32"/>
        <v>2.546911668557205</v>
      </c>
      <c r="F79" s="56">
        <v>2118299</v>
      </c>
      <c r="G79" s="64">
        <f t="shared" si="33"/>
        <v>4.171587973028327</v>
      </c>
      <c r="H79" s="56">
        <v>2779664.67</v>
      </c>
      <c r="I79" s="64">
        <f t="shared" si="12"/>
        <v>5.4740221783722465</v>
      </c>
      <c r="J79" s="56">
        <f>9643202-H79-F79-D79</f>
        <v>3451936.96</v>
      </c>
      <c r="K79" s="64">
        <f t="shared" si="34"/>
        <v>6.7979349024797555</v>
      </c>
      <c r="L79" s="56">
        <f t="shared" si="35"/>
        <v>9643202</v>
      </c>
      <c r="M79" s="64">
        <f t="shared" si="13"/>
        <v>6.7979349024797555</v>
      </c>
      <c r="N79" s="56">
        <v>54185500</v>
      </c>
      <c r="O79" s="65">
        <v>1262935.12</v>
      </c>
      <c r="P79" s="64">
        <f t="shared" si="36"/>
        <v>2.3307621411632264</v>
      </c>
      <c r="Q79" s="65">
        <v>2029160.18</v>
      </c>
      <c r="R79" s="64">
        <f t="shared" si="37"/>
        <v>3.7448398187707044</v>
      </c>
      <c r="S79" s="56">
        <v>2683170.7</v>
      </c>
      <c r="T79" s="64">
        <f t="shared" si="30"/>
        <v>4.951824196510136</v>
      </c>
      <c r="U79" s="56">
        <v>4938558</v>
      </c>
      <c r="V79" s="64">
        <f t="shared" si="38"/>
        <v>9.114168919729448</v>
      </c>
      <c r="W79" s="56">
        <f t="shared" si="39"/>
        <v>10913824</v>
      </c>
      <c r="X79" s="64">
        <f t="shared" si="31"/>
        <v>20.141595076173516</v>
      </c>
      <c r="Y79" s="28"/>
      <c r="AC79" s="29"/>
    </row>
    <row r="80" spans="1:29" ht="60" customHeight="1">
      <c r="A80" s="72">
        <v>65</v>
      </c>
      <c r="B80" s="57" t="s">
        <v>30</v>
      </c>
      <c r="C80" s="56">
        <v>9900000</v>
      </c>
      <c r="D80" s="56">
        <v>236048.6</v>
      </c>
      <c r="E80" s="64">
        <f t="shared" si="32"/>
        <v>2.384329292929293</v>
      </c>
      <c r="F80" s="56">
        <v>727548</v>
      </c>
      <c r="G80" s="64">
        <f t="shared" si="33"/>
        <v>7.348969696969697</v>
      </c>
      <c r="H80" s="56">
        <v>564722.31</v>
      </c>
      <c r="I80" s="64">
        <f t="shared" si="12"/>
        <v>5.704265757575758</v>
      </c>
      <c r="J80" s="56">
        <f>2219334-H80-F80-D80</f>
        <v>691015.09</v>
      </c>
      <c r="K80" s="64">
        <f t="shared" si="34"/>
        <v>6.9799504040404035</v>
      </c>
      <c r="L80" s="56">
        <f t="shared" si="35"/>
        <v>2219334</v>
      </c>
      <c r="M80" s="64">
        <f t="shared" si="13"/>
        <v>6.9799504040404035</v>
      </c>
      <c r="N80" s="56">
        <v>10917300</v>
      </c>
      <c r="O80" s="65">
        <v>310884.06</v>
      </c>
      <c r="P80" s="64">
        <f t="shared" si="36"/>
        <v>2.8476277101481133</v>
      </c>
      <c r="Q80" s="65">
        <v>879952.36</v>
      </c>
      <c r="R80" s="64">
        <f t="shared" si="37"/>
        <v>8.060164692735384</v>
      </c>
      <c r="S80" s="56">
        <v>425805.58</v>
      </c>
      <c r="T80" s="64">
        <f t="shared" si="30"/>
        <v>3.900282853819168</v>
      </c>
      <c r="U80" s="56">
        <v>1735574</v>
      </c>
      <c r="V80" s="64">
        <f t="shared" si="38"/>
        <v>15.897465490551694</v>
      </c>
      <c r="W80" s="56">
        <f t="shared" si="39"/>
        <v>3352216</v>
      </c>
      <c r="X80" s="64">
        <f t="shared" si="31"/>
        <v>30.705540747254357</v>
      </c>
      <c r="Y80" s="28"/>
      <c r="AC80" s="29"/>
    </row>
    <row r="81" spans="1:29" ht="60" customHeight="1">
      <c r="A81" s="71">
        <v>66</v>
      </c>
      <c r="B81" s="57" t="s">
        <v>60</v>
      </c>
      <c r="C81" s="56">
        <v>6423000</v>
      </c>
      <c r="D81" s="56">
        <v>417418.22</v>
      </c>
      <c r="E81" s="64">
        <f t="shared" si="32"/>
        <v>6.498804608438424</v>
      </c>
      <c r="F81" s="56">
        <v>484680</v>
      </c>
      <c r="G81" s="64">
        <f t="shared" si="33"/>
        <v>7.546006539000467</v>
      </c>
      <c r="H81" s="56">
        <v>481385.92</v>
      </c>
      <c r="I81" s="64">
        <f t="shared" si="12"/>
        <v>7.494720846956251</v>
      </c>
      <c r="J81" s="56">
        <f>1860721-H81-F81-D81</f>
        <v>477236.8600000001</v>
      </c>
      <c r="K81" s="64">
        <f t="shared" si="34"/>
        <v>7.430123929627901</v>
      </c>
      <c r="L81" s="56">
        <f t="shared" si="35"/>
        <v>1860721</v>
      </c>
      <c r="M81" s="64">
        <f t="shared" si="13"/>
        <v>7.430123929627901</v>
      </c>
      <c r="N81" s="56">
        <v>7840000</v>
      </c>
      <c r="O81" s="65">
        <v>542361.13</v>
      </c>
      <c r="P81" s="64">
        <f t="shared" si="36"/>
        <v>6.917871556122449</v>
      </c>
      <c r="Q81" s="65">
        <v>560050.7</v>
      </c>
      <c r="R81" s="64">
        <f t="shared" si="37"/>
        <v>7.143503826530612</v>
      </c>
      <c r="S81" s="56">
        <v>578160.17</v>
      </c>
      <c r="T81" s="64">
        <f t="shared" si="30"/>
        <v>7.374491964285715</v>
      </c>
      <c r="U81" s="56">
        <v>585585</v>
      </c>
      <c r="V81" s="64">
        <f t="shared" si="38"/>
        <v>7.469196428571428</v>
      </c>
      <c r="W81" s="56">
        <f t="shared" si="39"/>
        <v>2266157</v>
      </c>
      <c r="X81" s="64">
        <f t="shared" si="31"/>
        <v>28.905063775510204</v>
      </c>
      <c r="Y81" s="28"/>
      <c r="AC81" s="29"/>
    </row>
    <row r="82" spans="1:29" ht="60" customHeight="1">
      <c r="A82" s="71">
        <v>67</v>
      </c>
      <c r="B82" s="57" t="s">
        <v>61</v>
      </c>
      <c r="C82" s="56">
        <v>4518800</v>
      </c>
      <c r="D82" s="56">
        <v>246480</v>
      </c>
      <c r="E82" s="64">
        <f t="shared" si="32"/>
        <v>5.454545454545454</v>
      </c>
      <c r="F82" s="56">
        <v>0</v>
      </c>
      <c r="G82" s="64">
        <f t="shared" si="33"/>
        <v>0</v>
      </c>
      <c r="H82" s="56">
        <v>1000000</v>
      </c>
      <c r="I82" s="64">
        <f t="shared" si="12"/>
        <v>22.129768965212005</v>
      </c>
      <c r="J82" s="56">
        <f>2246480-H82-F82-D82</f>
        <v>1000000</v>
      </c>
      <c r="K82" s="64">
        <f t="shared" si="34"/>
        <v>22.129768965212005</v>
      </c>
      <c r="L82" s="56">
        <f t="shared" si="35"/>
        <v>2246480</v>
      </c>
      <c r="M82" s="64">
        <f t="shared" si="13"/>
        <v>22.129768965212005</v>
      </c>
      <c r="N82" s="56">
        <v>5712100</v>
      </c>
      <c r="O82" s="65">
        <v>342726</v>
      </c>
      <c r="P82" s="64">
        <f t="shared" si="36"/>
        <v>6</v>
      </c>
      <c r="Q82" s="65">
        <v>0</v>
      </c>
      <c r="R82" s="64">
        <f t="shared" si="37"/>
        <v>0</v>
      </c>
      <c r="S82" s="56">
        <v>930120</v>
      </c>
      <c r="T82" s="64">
        <f t="shared" si="30"/>
        <v>16.283328373102712</v>
      </c>
      <c r="U82" s="56">
        <v>0</v>
      </c>
      <c r="V82" s="64">
        <f t="shared" si="38"/>
        <v>0</v>
      </c>
      <c r="W82" s="56">
        <f t="shared" si="39"/>
        <v>1272846</v>
      </c>
      <c r="X82" s="64">
        <f t="shared" si="31"/>
        <v>22.283328373102712</v>
      </c>
      <c r="Y82" s="28"/>
      <c r="AC82" s="29"/>
    </row>
    <row r="83" spans="1:29" ht="60" customHeight="1">
      <c r="A83" s="71">
        <v>68</v>
      </c>
      <c r="B83" s="57" t="s">
        <v>62</v>
      </c>
      <c r="C83" s="56">
        <v>0</v>
      </c>
      <c r="D83" s="56">
        <v>0</v>
      </c>
      <c r="E83" s="64">
        <v>0</v>
      </c>
      <c r="F83" s="56">
        <v>0</v>
      </c>
      <c r="G83" s="64">
        <v>0</v>
      </c>
      <c r="H83" s="56">
        <v>0</v>
      </c>
      <c r="I83" s="64">
        <v>0</v>
      </c>
      <c r="J83" s="56">
        <f>0-H83-F83-D83</f>
        <v>0</v>
      </c>
      <c r="K83" s="64">
        <v>0</v>
      </c>
      <c r="L83" s="56">
        <f t="shared" si="35"/>
        <v>0</v>
      </c>
      <c r="M83" s="64">
        <v>0</v>
      </c>
      <c r="N83" s="56">
        <v>500000</v>
      </c>
      <c r="O83" s="65">
        <v>0</v>
      </c>
      <c r="P83" s="64">
        <f t="shared" si="36"/>
        <v>0</v>
      </c>
      <c r="Q83" s="65">
        <v>0</v>
      </c>
      <c r="R83" s="64">
        <f t="shared" si="37"/>
        <v>0</v>
      </c>
      <c r="S83" s="56">
        <v>7427</v>
      </c>
      <c r="T83" s="64">
        <f t="shared" si="30"/>
        <v>1.4854</v>
      </c>
      <c r="U83" s="56">
        <v>14903</v>
      </c>
      <c r="V83" s="64">
        <f t="shared" si="38"/>
        <v>2.9806</v>
      </c>
      <c r="W83" s="56">
        <f t="shared" si="39"/>
        <v>22330</v>
      </c>
      <c r="X83" s="64">
        <f t="shared" si="31"/>
        <v>4.466</v>
      </c>
      <c r="Y83" s="28"/>
      <c r="AC83" s="29"/>
    </row>
    <row r="84" spans="1:31" ht="64.5" customHeight="1">
      <c r="A84" s="70">
        <v>69</v>
      </c>
      <c r="B84" s="60" t="s">
        <v>52</v>
      </c>
      <c r="C84" s="60">
        <f>SUM(C85:C89)</f>
        <v>57449964</v>
      </c>
      <c r="D84" s="60">
        <f>SUM(D85:D89)</f>
        <v>844651.23</v>
      </c>
      <c r="E84" s="66">
        <f aca="true" t="shared" si="40" ref="E84:E90">D84/C84%</f>
        <v>1.470238049235331</v>
      </c>
      <c r="F84" s="60">
        <f>SUM(F85:F89)</f>
        <v>1966599</v>
      </c>
      <c r="G84" s="62">
        <f aca="true" t="shared" si="41" ref="G84:G90">F84/C84%</f>
        <v>3.4231509701207123</v>
      </c>
      <c r="H84" s="60">
        <f>SUM(H85:H89)</f>
        <v>2286463.4</v>
      </c>
      <c r="I84" s="62">
        <f aca="true" t="shared" si="42" ref="I84:I90">H84/C84%</f>
        <v>3.9799213799333275</v>
      </c>
      <c r="J84" s="60">
        <f>SUM(J85:J89)</f>
        <v>2344819.37</v>
      </c>
      <c r="K84" s="62">
        <f aca="true" t="shared" si="43" ref="K84:K90">J84/C84%</f>
        <v>4.0814984148641065</v>
      </c>
      <c r="L84" s="60">
        <f>SUM(L85:L89)</f>
        <v>7442533</v>
      </c>
      <c r="M84" s="62">
        <f aca="true" t="shared" si="44" ref="M84:M90">J84/C84%</f>
        <v>4.0814984148641065</v>
      </c>
      <c r="N84" s="60">
        <f>SUM(N85:N89)</f>
        <v>58365600</v>
      </c>
      <c r="O84" s="63">
        <f>SUM(O85:O89)</f>
        <v>884708.86</v>
      </c>
      <c r="P84" s="62">
        <f aca="true" t="shared" si="45" ref="P84:P93">O84/N84%</f>
        <v>1.5158053031237577</v>
      </c>
      <c r="Q84" s="63">
        <f>SUM(Q85:Q89)</f>
        <v>2007744.4400000002</v>
      </c>
      <c r="R84" s="62">
        <f aca="true" t="shared" si="46" ref="R84:R93">Q84/N84%</f>
        <v>3.439944830516606</v>
      </c>
      <c r="S84" s="60">
        <f>SUM(S85:S89)</f>
        <v>7644316.7</v>
      </c>
      <c r="T84" s="62">
        <f t="shared" si="30"/>
        <v>13.097298237317872</v>
      </c>
      <c r="U84" s="60">
        <f>SUM(U85:U89)</f>
        <v>4328678</v>
      </c>
      <c r="V84" s="62">
        <f aca="true" t="shared" si="47" ref="V84:V93">U84/N84%</f>
        <v>7.416488479515331</v>
      </c>
      <c r="W84" s="60">
        <f>SUM(W85:W89)</f>
        <v>14865448</v>
      </c>
      <c r="X84" s="62">
        <f t="shared" si="31"/>
        <v>25.469536850473567</v>
      </c>
      <c r="Y84" s="28"/>
      <c r="AC84" s="29"/>
      <c r="AD84" s="30"/>
      <c r="AE84" s="30"/>
    </row>
    <row r="85" spans="1:31" ht="60" customHeight="1">
      <c r="A85" s="71">
        <v>70</v>
      </c>
      <c r="B85" s="57" t="s">
        <v>23</v>
      </c>
      <c r="C85" s="56">
        <v>24619964</v>
      </c>
      <c r="D85" s="56">
        <v>103452.7</v>
      </c>
      <c r="E85" s="64">
        <f t="shared" si="40"/>
        <v>0.4201984210862371</v>
      </c>
      <c r="F85" s="56">
        <v>883108</v>
      </c>
      <c r="G85" s="64">
        <f t="shared" si="41"/>
        <v>3.58695894112599</v>
      </c>
      <c r="H85" s="56">
        <v>1065860.73</v>
      </c>
      <c r="I85" s="64">
        <f t="shared" si="42"/>
        <v>4.329253812068937</v>
      </c>
      <c r="J85" s="56">
        <f>3374049-H85-F85-D85</f>
        <v>1321627.57</v>
      </c>
      <c r="K85" s="64">
        <f t="shared" si="43"/>
        <v>5.36811333274086</v>
      </c>
      <c r="L85" s="56">
        <f>D85+F85+H85+J85</f>
        <v>3374049</v>
      </c>
      <c r="M85" s="64">
        <f t="shared" si="44"/>
        <v>5.36811333274086</v>
      </c>
      <c r="N85" s="56">
        <v>25070000</v>
      </c>
      <c r="O85" s="65">
        <v>509409.07</v>
      </c>
      <c r="P85" s="64">
        <f t="shared" si="45"/>
        <v>2.0319468288791382</v>
      </c>
      <c r="Q85" s="65">
        <v>1388934.76</v>
      </c>
      <c r="R85" s="64">
        <f t="shared" si="46"/>
        <v>5.540226406063024</v>
      </c>
      <c r="S85" s="56">
        <v>1655878.17</v>
      </c>
      <c r="T85" s="64">
        <f t="shared" si="30"/>
        <v>6.605018627842042</v>
      </c>
      <c r="U85" s="56">
        <v>3045372</v>
      </c>
      <c r="V85" s="64">
        <f t="shared" si="47"/>
        <v>12.147475069804548</v>
      </c>
      <c r="W85" s="56">
        <f>O85+Q85+S85+U85</f>
        <v>6599594</v>
      </c>
      <c r="X85" s="64">
        <f t="shared" si="31"/>
        <v>26.32466693258875</v>
      </c>
      <c r="Y85" s="28"/>
      <c r="AC85" s="29"/>
      <c r="AD85" s="31"/>
      <c r="AE85" s="31"/>
    </row>
    <row r="86" spans="1:31" ht="60" customHeight="1">
      <c r="A86" s="72">
        <v>71</v>
      </c>
      <c r="B86" s="57" t="s">
        <v>53</v>
      </c>
      <c r="C86" s="56">
        <v>28425000</v>
      </c>
      <c r="D86" s="56">
        <v>719839.75</v>
      </c>
      <c r="E86" s="64">
        <f t="shared" si="40"/>
        <v>2.5324177660510117</v>
      </c>
      <c r="F86" s="56">
        <v>1062280</v>
      </c>
      <c r="G86" s="64">
        <f t="shared" si="41"/>
        <v>3.737132805628848</v>
      </c>
      <c r="H86" s="56">
        <v>1198339.33</v>
      </c>
      <c r="I86" s="64">
        <f t="shared" si="42"/>
        <v>4.215793597185576</v>
      </c>
      <c r="J86" s="56">
        <f>3924402-H86-F86-D86</f>
        <v>943942.9199999999</v>
      </c>
      <c r="K86" s="64">
        <f t="shared" si="43"/>
        <v>3.3208194195250655</v>
      </c>
      <c r="L86" s="56">
        <f>D86+F86+H86+J86</f>
        <v>3924402</v>
      </c>
      <c r="M86" s="64">
        <f t="shared" si="44"/>
        <v>3.3208194195250655</v>
      </c>
      <c r="N86" s="56">
        <v>28920000</v>
      </c>
      <c r="O86" s="65">
        <v>331460.91</v>
      </c>
      <c r="P86" s="64">
        <f t="shared" si="45"/>
        <v>1.1461303941908714</v>
      </c>
      <c r="Q86" s="65">
        <v>576229.88</v>
      </c>
      <c r="R86" s="64">
        <f t="shared" si="46"/>
        <v>1.9924961272475796</v>
      </c>
      <c r="S86" s="56">
        <v>5946875.21</v>
      </c>
      <c r="T86" s="64">
        <f t="shared" si="30"/>
        <v>20.563192289073307</v>
      </c>
      <c r="U86" s="56">
        <v>1241105</v>
      </c>
      <c r="V86" s="64">
        <f t="shared" si="47"/>
        <v>4.291511065006915</v>
      </c>
      <c r="W86" s="56">
        <f>O86+Q86+S86+U86</f>
        <v>8095671</v>
      </c>
      <c r="X86" s="64">
        <f t="shared" si="31"/>
        <v>27.993329875518672</v>
      </c>
      <c r="Y86" s="28"/>
      <c r="AC86" s="29"/>
      <c r="AD86" s="31"/>
      <c r="AE86" s="31"/>
    </row>
    <row r="87" spans="1:31" ht="60" customHeight="1">
      <c r="A87" s="71">
        <v>72</v>
      </c>
      <c r="B87" s="57" t="s">
        <v>30</v>
      </c>
      <c r="C87" s="56">
        <v>2277000</v>
      </c>
      <c r="D87" s="56">
        <v>0</v>
      </c>
      <c r="E87" s="64">
        <f t="shared" si="40"/>
        <v>0</v>
      </c>
      <c r="F87" s="56">
        <v>0</v>
      </c>
      <c r="G87" s="64">
        <f t="shared" si="41"/>
        <v>0</v>
      </c>
      <c r="H87" s="56">
        <v>990</v>
      </c>
      <c r="I87" s="64">
        <f t="shared" si="42"/>
        <v>0.043478260869565216</v>
      </c>
      <c r="J87" s="56">
        <f>59692-H87-F87-D87</f>
        <v>58702</v>
      </c>
      <c r="K87" s="64">
        <f t="shared" si="43"/>
        <v>2.5780412823891083</v>
      </c>
      <c r="L87" s="56">
        <f>D87+F87+H87+J87</f>
        <v>59692</v>
      </c>
      <c r="M87" s="64">
        <f t="shared" si="44"/>
        <v>2.5780412823891083</v>
      </c>
      <c r="N87" s="56">
        <v>2300000</v>
      </c>
      <c r="O87" s="65">
        <v>0</v>
      </c>
      <c r="P87" s="64">
        <f t="shared" si="45"/>
        <v>0</v>
      </c>
      <c r="Q87" s="65">
        <v>0</v>
      </c>
      <c r="R87" s="64">
        <f t="shared" si="46"/>
        <v>0</v>
      </c>
      <c r="S87" s="56">
        <v>0</v>
      </c>
      <c r="T87" s="64">
        <f t="shared" si="30"/>
        <v>0</v>
      </c>
      <c r="U87" s="56">
        <v>0</v>
      </c>
      <c r="V87" s="64">
        <f t="shared" si="47"/>
        <v>0</v>
      </c>
      <c r="W87" s="56">
        <f>O87+Q87+S87+U87</f>
        <v>0</v>
      </c>
      <c r="X87" s="64">
        <f t="shared" si="31"/>
        <v>0</v>
      </c>
      <c r="Y87" s="28"/>
      <c r="AC87" s="29"/>
      <c r="AD87" s="31"/>
      <c r="AE87" s="31"/>
    </row>
    <row r="88" spans="1:31" ht="60" customHeight="1">
      <c r="A88" s="71">
        <v>73</v>
      </c>
      <c r="B88" s="57" t="s">
        <v>60</v>
      </c>
      <c r="C88" s="56">
        <v>1245000</v>
      </c>
      <c r="D88" s="56">
        <v>21358.78</v>
      </c>
      <c r="E88" s="64">
        <f t="shared" si="40"/>
        <v>1.715564658634538</v>
      </c>
      <c r="F88" s="56">
        <v>21211</v>
      </c>
      <c r="G88" s="64">
        <f t="shared" si="41"/>
        <v>1.7036947791164658</v>
      </c>
      <c r="H88" s="56">
        <v>21273.34</v>
      </c>
      <c r="I88" s="64">
        <f t="shared" si="42"/>
        <v>1.7087020080321285</v>
      </c>
      <c r="J88" s="56">
        <f>84390-H88-F88-D88</f>
        <v>20546.880000000005</v>
      </c>
      <c r="K88" s="64">
        <f t="shared" si="43"/>
        <v>1.650351807228916</v>
      </c>
      <c r="L88" s="56">
        <f>D88+F88+H88+J88</f>
        <v>84390</v>
      </c>
      <c r="M88" s="64">
        <f t="shared" si="44"/>
        <v>1.650351807228916</v>
      </c>
      <c r="N88" s="56">
        <v>1244000</v>
      </c>
      <c r="O88" s="65">
        <v>43838.88</v>
      </c>
      <c r="P88" s="64">
        <f t="shared" si="45"/>
        <v>3.5240257234726684</v>
      </c>
      <c r="Q88" s="65">
        <v>42579.8</v>
      </c>
      <c r="R88" s="64">
        <f t="shared" si="46"/>
        <v>3.4228135048231514</v>
      </c>
      <c r="S88" s="56">
        <v>41563.32</v>
      </c>
      <c r="T88" s="64">
        <f t="shared" si="30"/>
        <v>3.341102893890675</v>
      </c>
      <c r="U88" s="56">
        <v>42201</v>
      </c>
      <c r="V88" s="64">
        <f t="shared" si="47"/>
        <v>3.392363344051447</v>
      </c>
      <c r="W88" s="56">
        <f>O88+Q88+S88+U88</f>
        <v>170183</v>
      </c>
      <c r="X88" s="64">
        <f t="shared" si="31"/>
        <v>13.680305466237941</v>
      </c>
      <c r="Y88" s="28"/>
      <c r="AC88" s="29"/>
      <c r="AD88" s="31"/>
      <c r="AE88" s="31"/>
    </row>
    <row r="89" spans="1:31" ht="60" customHeight="1">
      <c r="A89" s="72">
        <v>74</v>
      </c>
      <c r="B89" s="59" t="s">
        <v>61</v>
      </c>
      <c r="C89" s="56">
        <v>883000</v>
      </c>
      <c r="D89" s="56">
        <v>0</v>
      </c>
      <c r="E89" s="64">
        <f t="shared" si="40"/>
        <v>0</v>
      </c>
      <c r="F89" s="56">
        <v>0</v>
      </c>
      <c r="G89" s="64">
        <f t="shared" si="41"/>
        <v>0</v>
      </c>
      <c r="H89" s="56">
        <v>0</v>
      </c>
      <c r="I89" s="64">
        <f t="shared" si="42"/>
        <v>0</v>
      </c>
      <c r="J89" s="56">
        <f>0-H89-F89-D89</f>
        <v>0</v>
      </c>
      <c r="K89" s="64">
        <f t="shared" si="43"/>
        <v>0</v>
      </c>
      <c r="L89" s="56">
        <f>D89+F89+H89+J89</f>
        <v>0</v>
      </c>
      <c r="M89" s="64">
        <f t="shared" si="44"/>
        <v>0</v>
      </c>
      <c r="N89" s="56">
        <v>831600</v>
      </c>
      <c r="O89" s="65">
        <v>0</v>
      </c>
      <c r="P89" s="64">
        <f t="shared" si="45"/>
        <v>0</v>
      </c>
      <c r="Q89" s="65">
        <v>0</v>
      </c>
      <c r="R89" s="64">
        <f t="shared" si="46"/>
        <v>0</v>
      </c>
      <c r="S89" s="56">
        <v>0</v>
      </c>
      <c r="T89" s="64">
        <f t="shared" si="30"/>
        <v>0</v>
      </c>
      <c r="U89" s="56">
        <v>0</v>
      </c>
      <c r="V89" s="64">
        <f t="shared" si="47"/>
        <v>0</v>
      </c>
      <c r="W89" s="56">
        <f>O89+Q89+S89+U89</f>
        <v>0</v>
      </c>
      <c r="X89" s="64">
        <f t="shared" si="31"/>
        <v>0</v>
      </c>
      <c r="Y89" s="28"/>
      <c r="AC89" s="29"/>
      <c r="AD89" s="31"/>
      <c r="AE89" s="31"/>
    </row>
    <row r="90" spans="1:31" ht="64.5" customHeight="1">
      <c r="A90" s="70">
        <v>75</v>
      </c>
      <c r="B90" s="60" t="s">
        <v>19</v>
      </c>
      <c r="C90" s="60">
        <f>SUM(C91:C92)</f>
        <v>269500000</v>
      </c>
      <c r="D90" s="60">
        <f>SUM(D91:D92)</f>
        <v>19225000</v>
      </c>
      <c r="E90" s="66">
        <f t="shared" si="40"/>
        <v>7.133580705009276</v>
      </c>
      <c r="F90" s="60">
        <f>SUM(F91:F92)</f>
        <v>21575000</v>
      </c>
      <c r="G90" s="62">
        <f t="shared" si="41"/>
        <v>8.00556586270872</v>
      </c>
      <c r="H90" s="60">
        <f>SUM(H91:H92)</f>
        <v>20400000</v>
      </c>
      <c r="I90" s="62">
        <f t="shared" si="42"/>
        <v>7.569573283858998</v>
      </c>
      <c r="J90" s="60">
        <f>SUM(J91:J92)</f>
        <v>40800000</v>
      </c>
      <c r="K90" s="62">
        <f t="shared" si="43"/>
        <v>15.139146567717995</v>
      </c>
      <c r="L90" s="60">
        <f>SUM(L91:L92)</f>
        <v>102000000</v>
      </c>
      <c r="M90" s="62">
        <f t="shared" si="44"/>
        <v>15.139146567717995</v>
      </c>
      <c r="N90" s="60">
        <f>SUM(N91:N92)</f>
        <v>264452000</v>
      </c>
      <c r="O90" s="63">
        <f>SUM(O91:O92)</f>
        <v>32239274.73</v>
      </c>
      <c r="P90" s="62">
        <f t="shared" si="45"/>
        <v>12.19097406334609</v>
      </c>
      <c r="Q90" s="63">
        <f>SUM(Q91:Q92)</f>
        <v>29533012.31</v>
      </c>
      <c r="R90" s="62">
        <f t="shared" si="46"/>
        <v>11.16762675646242</v>
      </c>
      <c r="S90" s="60">
        <f>SUM(S91:S92)</f>
        <v>16306494.960000003</v>
      </c>
      <c r="T90" s="62">
        <f t="shared" si="30"/>
        <v>6.166145447945186</v>
      </c>
      <c r="U90" s="60">
        <f>SUM(U91:U92)</f>
        <v>23376938</v>
      </c>
      <c r="V90" s="62">
        <f t="shared" si="47"/>
        <v>8.839766006685524</v>
      </c>
      <c r="W90" s="60">
        <f>SUM(W91:W92)</f>
        <v>101455720</v>
      </c>
      <c r="X90" s="62">
        <f t="shared" si="31"/>
        <v>38.36451227443922</v>
      </c>
      <c r="Y90" s="28"/>
      <c r="AC90" s="29"/>
      <c r="AD90" s="31"/>
      <c r="AE90" s="31"/>
    </row>
    <row r="91" spans="1:31" ht="60" customHeight="1">
      <c r="A91" s="71">
        <v>76</v>
      </c>
      <c r="B91" s="57" t="s">
        <v>3</v>
      </c>
      <c r="C91" s="56">
        <v>0</v>
      </c>
      <c r="D91" s="56">
        <v>0</v>
      </c>
      <c r="E91" s="64">
        <v>0</v>
      </c>
      <c r="F91" s="56">
        <v>0</v>
      </c>
      <c r="G91" s="64">
        <v>0</v>
      </c>
      <c r="H91" s="56">
        <v>0</v>
      </c>
      <c r="I91" s="64">
        <v>0</v>
      </c>
      <c r="J91" s="56">
        <f>0-H91-F91-D91</f>
        <v>0</v>
      </c>
      <c r="K91" s="64">
        <v>0</v>
      </c>
      <c r="L91" s="56">
        <f>D91+F91+H91+J91</f>
        <v>0</v>
      </c>
      <c r="M91" s="64">
        <v>0</v>
      </c>
      <c r="N91" s="56">
        <v>5452000</v>
      </c>
      <c r="O91" s="65">
        <v>528.73</v>
      </c>
      <c r="P91" s="64">
        <f t="shared" si="45"/>
        <v>0.009697909024211299</v>
      </c>
      <c r="Q91" s="65">
        <v>-80.13</v>
      </c>
      <c r="R91" s="64">
        <f t="shared" si="46"/>
        <v>-0.0014697358767424798</v>
      </c>
      <c r="S91" s="56">
        <v>9397.4</v>
      </c>
      <c r="T91" s="64">
        <f t="shared" si="30"/>
        <v>0.17236610418195156</v>
      </c>
      <c r="U91" s="56">
        <v>80205</v>
      </c>
      <c r="V91" s="64">
        <f t="shared" si="47"/>
        <v>1.4711115187087307</v>
      </c>
      <c r="W91" s="56">
        <f>O91+Q91+S91+U91</f>
        <v>90051</v>
      </c>
      <c r="X91" s="64">
        <f t="shared" si="31"/>
        <v>1.6517057960381512</v>
      </c>
      <c r="Y91" s="28"/>
      <c r="AC91" s="29"/>
      <c r="AD91" s="31"/>
      <c r="AE91" s="31"/>
    </row>
    <row r="92" spans="1:31" ht="60" customHeight="1" thickBot="1">
      <c r="A92" s="72">
        <v>77</v>
      </c>
      <c r="B92" s="57" t="s">
        <v>5</v>
      </c>
      <c r="C92" s="56">
        <v>269500000</v>
      </c>
      <c r="D92" s="56">
        <v>19225000</v>
      </c>
      <c r="E92" s="64">
        <f>D92/C92%</f>
        <v>7.133580705009276</v>
      </c>
      <c r="F92" s="56">
        <v>21575000</v>
      </c>
      <c r="G92" s="64">
        <f>F92/C92%</f>
        <v>8.00556586270872</v>
      </c>
      <c r="H92" s="56">
        <v>20400000</v>
      </c>
      <c r="I92" s="64">
        <f>H92/C92%</f>
        <v>7.569573283858998</v>
      </c>
      <c r="J92" s="56">
        <f>102000000-H92-F92-D92</f>
        <v>40800000</v>
      </c>
      <c r="K92" s="64">
        <f>J92/C92%</f>
        <v>15.139146567717995</v>
      </c>
      <c r="L92" s="56">
        <f>D92+F92+H92+J92</f>
        <v>102000000</v>
      </c>
      <c r="M92" s="64">
        <f>J92/C92%</f>
        <v>15.139146567717995</v>
      </c>
      <c r="N92" s="56">
        <v>259000000</v>
      </c>
      <c r="O92" s="65">
        <v>32238746</v>
      </c>
      <c r="P92" s="64">
        <f t="shared" si="45"/>
        <v>12.447392277992279</v>
      </c>
      <c r="Q92" s="65">
        <v>29533092.439999998</v>
      </c>
      <c r="R92" s="64">
        <f t="shared" si="46"/>
        <v>11.402738393822393</v>
      </c>
      <c r="S92" s="56">
        <v>16297097.560000002</v>
      </c>
      <c r="T92" s="64">
        <f t="shared" si="30"/>
        <v>6.292315660231661</v>
      </c>
      <c r="U92" s="56">
        <v>23296733</v>
      </c>
      <c r="V92" s="64">
        <f t="shared" si="47"/>
        <v>8.994877606177607</v>
      </c>
      <c r="W92" s="56">
        <f>O92+Q92+S92+U92</f>
        <v>101365669</v>
      </c>
      <c r="X92" s="64">
        <f t="shared" si="31"/>
        <v>39.137323938223936</v>
      </c>
      <c r="Y92" s="28"/>
      <c r="AC92" s="29"/>
      <c r="AD92" s="31"/>
      <c r="AE92" s="31"/>
    </row>
    <row r="93" spans="1:29" ht="64.5" customHeight="1" thickBot="1">
      <c r="A93" s="74" t="s">
        <v>54</v>
      </c>
      <c r="B93" s="75"/>
      <c r="C93" s="67">
        <f>SUM(C16+C20+C53+C59+C73+C84+C90)</f>
        <v>29925612516</v>
      </c>
      <c r="D93" s="67">
        <f>SUM(D16+D20+D53+D59+D73+D84+D90)</f>
        <v>1736120123.7299998</v>
      </c>
      <c r="E93" s="68">
        <f>D93/C93%</f>
        <v>5.801452260339758</v>
      </c>
      <c r="F93" s="67">
        <f>SUM(F16+F20+F53+F59+F73+F84+F90)</f>
        <v>1882979146</v>
      </c>
      <c r="G93" s="68">
        <f>F93/C93%</f>
        <v>6.292199182199689</v>
      </c>
      <c r="H93" s="67">
        <f>SUM(H16+H20+H53+H59+H73+H84+H90)</f>
        <v>1948557807.7800002</v>
      </c>
      <c r="I93" s="68">
        <f>H93/C93%</f>
        <v>6.511338094544216</v>
      </c>
      <c r="J93" s="67">
        <f>SUM(J16+J20+J53+J59+J73+J84+J90)</f>
        <v>2162760849.49</v>
      </c>
      <c r="K93" s="68">
        <f>J93/C93%</f>
        <v>7.227123081720248</v>
      </c>
      <c r="L93" s="67">
        <f>SUM(L16+L20+L53+L59+L73+L84+L90)</f>
        <v>7730417927</v>
      </c>
      <c r="M93" s="68">
        <f>J93/C93%</f>
        <v>7.227123081720248</v>
      </c>
      <c r="N93" s="67">
        <f>SUM(N16+N20+N53+N59+N73+N84+N90)-259000000</f>
        <v>30590984324</v>
      </c>
      <c r="O93" s="67">
        <f>SUM(O16+O20+O53+O59+O73+O84+O90)-32238746</f>
        <v>1715412687.4599998</v>
      </c>
      <c r="P93" s="68">
        <f t="shared" si="45"/>
        <v>5.607575974971755</v>
      </c>
      <c r="Q93" s="67">
        <f>SUM(Q16+Q20+Q53+Q59+Q73+Q84+Q90)-29533092</f>
        <v>1863260890.6900003</v>
      </c>
      <c r="R93" s="68">
        <f t="shared" si="46"/>
        <v>6.090882434365437</v>
      </c>
      <c r="S93" s="67">
        <f>SUM(S16+S20+S53+S59+S73+S84+S90)-16297098</f>
        <v>2475607741.3699994</v>
      </c>
      <c r="T93" s="69">
        <f t="shared" si="30"/>
        <v>8.092605700914874</v>
      </c>
      <c r="U93" s="67">
        <f>SUM(U16+U20+U53+U59+U73+U84+U90)-23296733</f>
        <v>2094608697.48</v>
      </c>
      <c r="V93" s="62">
        <f t="shared" si="47"/>
        <v>6.847143835893784</v>
      </c>
      <c r="W93" s="67">
        <f>SUM(W16+W20+W53+W59+W73+W84+W90)-101365669+2</f>
        <v>8148890019</v>
      </c>
      <c r="X93" s="68">
        <f t="shared" si="31"/>
        <v>26.638207952683725</v>
      </c>
      <c r="Y93" s="32"/>
      <c r="AC93" s="29"/>
    </row>
    <row r="94" spans="1:24" ht="48.75" customHeight="1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5"/>
      <c r="O94" s="35"/>
      <c r="P94" s="35"/>
      <c r="Q94" s="36"/>
      <c r="R94" s="36"/>
      <c r="S94" s="37"/>
      <c r="T94" s="37"/>
      <c r="U94" s="37"/>
      <c r="V94" s="37"/>
      <c r="W94" s="37"/>
      <c r="X94" s="37"/>
    </row>
    <row r="95" spans="1:24" ht="50.25">
      <c r="A95" s="33"/>
      <c r="B95" s="7"/>
      <c r="C95" s="7"/>
      <c r="D95" s="36"/>
      <c r="E95" s="7"/>
      <c r="F95" s="36"/>
      <c r="G95" s="7"/>
      <c r="H95" s="7"/>
      <c r="I95" s="7"/>
      <c r="J95" s="36"/>
      <c r="K95" s="36"/>
      <c r="L95" s="36"/>
      <c r="M95" s="7"/>
      <c r="N95" s="46"/>
      <c r="O95" s="46"/>
      <c r="P95" s="46"/>
      <c r="Q95" s="46"/>
      <c r="R95" s="46"/>
      <c r="S95" s="52"/>
      <c r="T95" s="38"/>
      <c r="U95" s="38"/>
      <c r="V95" s="38"/>
      <c r="W95" s="51"/>
      <c r="X95" s="38"/>
    </row>
    <row r="96" spans="1:24" ht="50.2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36"/>
      <c r="P96" s="7"/>
      <c r="Q96" s="36"/>
      <c r="R96" s="39"/>
      <c r="S96" s="38"/>
      <c r="T96" s="38"/>
      <c r="U96" s="38"/>
      <c r="V96" s="38"/>
      <c r="W96" s="50"/>
      <c r="X96" s="38"/>
    </row>
    <row r="97" spans="1:24" ht="23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23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23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23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23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23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23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>
        <v>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23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23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23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23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23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23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23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23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23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23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23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23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23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23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23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23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23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23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23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23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23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23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23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23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23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23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23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23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23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23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23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23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23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23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23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23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23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23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23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23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23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23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23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23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23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23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23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23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23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23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23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23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23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23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23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23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23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23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23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23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23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23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23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23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23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23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23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23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23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23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23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23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23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23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23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23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23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23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23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23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23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23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23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23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23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23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23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23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23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23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23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23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23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23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23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23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23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23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23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23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23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23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23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23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23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23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23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23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23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23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23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23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23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23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23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23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23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23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23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23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23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23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23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23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23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23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23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23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23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23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23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23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23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23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23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23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23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23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23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23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23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23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23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23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23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23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23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23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23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23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23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23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23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23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23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23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23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23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23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23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23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23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23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23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23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23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23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23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23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23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23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23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23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23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23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23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23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23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23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23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23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23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23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23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23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23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23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23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23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23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23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23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23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23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23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23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23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23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23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23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23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23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23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23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23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23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23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23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23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23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23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23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23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23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23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23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23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23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23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23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23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23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23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23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23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23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23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23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23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23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23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23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23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23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23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23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23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23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23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23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23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23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23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23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23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23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23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23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23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23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23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23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23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23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23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23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23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23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23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23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23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23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23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23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23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23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23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23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23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23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23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23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23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23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23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23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23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23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23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23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23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23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23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23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23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23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23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23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23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23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23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23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23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23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23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23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23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23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23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23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23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23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23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23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23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23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23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23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23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23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23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23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23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23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23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23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23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23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23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23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23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23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23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23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23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23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23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23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23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23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23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23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23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23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23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23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23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23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23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23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23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23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23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23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23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23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23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23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23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23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23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23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23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23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23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23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23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23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23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23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23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23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23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23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23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23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23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23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23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23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23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23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23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23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23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23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23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23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23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23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23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23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23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23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23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23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23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23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23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23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23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23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23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23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23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23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23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23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23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23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23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23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23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23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23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23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23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23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23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23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23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23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23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23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23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23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23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23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23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23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23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23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23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23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23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23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23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23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23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23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23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23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23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23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23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23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23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23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23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23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23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23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23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23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23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23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23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23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23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23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23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23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23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23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23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23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23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23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23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23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23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23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23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23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23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23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23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23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23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23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23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23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23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23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23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23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</sheetData>
  <mergeCells count="6">
    <mergeCell ref="A93:B93"/>
    <mergeCell ref="A7:X7"/>
    <mergeCell ref="B13:B14"/>
    <mergeCell ref="O13:W13"/>
    <mergeCell ref="D13:J13"/>
    <mergeCell ref="A9:X9"/>
  </mergeCells>
  <printOptions horizontalCentered="1" verticalCentered="1"/>
  <pageMargins left="0.2" right="0.2" top="0.2362204724409449" bottom="0.2" header="0.23" footer="0"/>
  <pageSetup horizontalDpi="600" verticalDpi="600" orientation="landscape" paperSize="9" scale="10" r:id="rId1"/>
  <headerFooter alignWithMargins="0">
    <oddFooter>&amp;C&amp;"Arial,Negrito"&amp;28Emissão ; &amp;D   às  &amp;T&amp;R&amp;"Arial,Negrito"&amp;28CAA/2003/Grandes Grupos/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Datasus</cp:lastModifiedBy>
  <cp:lastPrinted>2003-06-03T12:41:32Z</cp:lastPrinted>
  <dcterms:created xsi:type="dcterms:W3CDTF">1999-08-01T22:28:23Z</dcterms:created>
  <dcterms:modified xsi:type="dcterms:W3CDTF">2003-06-03T12:43:41Z</dcterms:modified>
  <cp:category/>
  <cp:version/>
  <cp:contentType/>
  <cp:contentStatus/>
</cp:coreProperties>
</file>